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10" yWindow="0" windowWidth="10875" windowHeight="10695" tabRatio="801"/>
  </bookViews>
  <sheets>
    <sheet name="калькуляция 2021" sheetId="53" r:id="rId1"/>
    <sheet name="тариф 01.10.21" sheetId="51" r:id="rId2"/>
    <sheet name="тариф" sheetId="34" r:id="rId3"/>
    <sheet name="калькуляция 2020" sheetId="50" r:id="rId4"/>
    <sheet name="калькуляция 2019" sheetId="52" r:id="rId5"/>
    <sheet name="ТХ МКД" sheetId="48" r:id="rId6"/>
  </sheets>
  <definedNames>
    <definedName name="ВИДЫ_МУП" localSheetId="4">#REF!</definedName>
    <definedName name="ВИДЫ_МУП" localSheetId="3">#REF!</definedName>
    <definedName name="ВИДЫ_МУП" localSheetId="0">#REF!</definedName>
    <definedName name="ВИДЫ_МУП">#REF!</definedName>
    <definedName name="_xlnm.Print_Area" localSheetId="4">'калькуляция 2019'!$A$1:$H$125</definedName>
    <definedName name="_xlnm.Print_Area" localSheetId="3">'калькуляция 2020'!$A$1:$I$124</definedName>
    <definedName name="_xlnm.Print_Area" localSheetId="0">'калькуляция 2021'!$A$1:$I$127</definedName>
    <definedName name="Резервный_фонд" localSheetId="4">#REF!</definedName>
    <definedName name="Резервный_фонд" localSheetId="3">#REF!</definedName>
    <definedName name="Резервный_фонд" localSheetId="0">#REF!</definedName>
    <definedName name="Резервный_фонд">#REF!</definedName>
    <definedName name="Система_налогообложения" localSheetId="4">#REF!</definedName>
    <definedName name="Система_налогообложения" localSheetId="3">#REF!</definedName>
    <definedName name="Система_налогообложения" localSheetId="0">#REF!</definedName>
    <definedName name="Система_налогообложения">#REF!</definedName>
    <definedName name="Ставка" localSheetId="4">#REF!</definedName>
    <definedName name="Ставка" localSheetId="3">#REF!</definedName>
    <definedName name="Ставка" localSheetId="0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E64" i="53" l="1"/>
  <c r="E9" i="53"/>
  <c r="E35" i="53"/>
  <c r="E120" i="53"/>
  <c r="E57" i="53" l="1"/>
  <c r="B33" i="51" l="1"/>
  <c r="B31" i="34"/>
  <c r="D60" i="53" l="1"/>
  <c r="H55" i="53"/>
  <c r="H49" i="53"/>
  <c r="H45" i="53"/>
  <c r="I40" i="53"/>
  <c r="H40" i="53"/>
  <c r="H34" i="53"/>
  <c r="H28" i="53"/>
  <c r="H24" i="53"/>
  <c r="H19" i="53"/>
  <c r="I14" i="53"/>
  <c r="H14" i="53"/>
  <c r="D121" i="53"/>
  <c r="I19" i="53" l="1"/>
  <c r="E117" i="53"/>
  <c r="E121" i="53"/>
  <c r="C33" i="48"/>
  <c r="C29" i="48"/>
  <c r="C25" i="48"/>
  <c r="C23" i="48" s="1"/>
  <c r="C19" i="48"/>
  <c r="C13" i="48"/>
  <c r="C10" i="48"/>
  <c r="C6" i="48"/>
  <c r="C4" i="48"/>
  <c r="E97" i="53"/>
  <c r="E86" i="53"/>
  <c r="C85" i="53"/>
  <c r="C84" i="53"/>
  <c r="C79" i="53"/>
  <c r="E77" i="53"/>
  <c r="H74" i="53"/>
  <c r="H75" i="53" s="1"/>
  <c r="G73" i="53" s="1"/>
  <c r="E72" i="53"/>
  <c r="C71" i="53"/>
  <c r="H68" i="53"/>
  <c r="H69" i="53" s="1"/>
  <c r="G67" i="53" s="1"/>
  <c r="F65" i="53"/>
  <c r="C65" i="53"/>
  <c r="E62" i="53"/>
  <c r="F61" i="53"/>
  <c r="C61" i="53"/>
  <c r="F60" i="53"/>
  <c r="E58" i="53"/>
  <c r="E56" i="53"/>
  <c r="H53" i="53"/>
  <c r="H54" i="53" s="1"/>
  <c r="G52" i="53" s="1"/>
  <c r="G53" i="53" s="1"/>
  <c r="E51" i="53"/>
  <c r="C51" i="53"/>
  <c r="H48" i="53"/>
  <c r="G47" i="53" s="1"/>
  <c r="G48" i="53" s="1"/>
  <c r="H43" i="53"/>
  <c r="H44" i="53" s="1"/>
  <c r="G42" i="53" s="1"/>
  <c r="G43" i="53" s="1"/>
  <c r="C41" i="53"/>
  <c r="I38" i="53"/>
  <c r="I39" i="53" s="1"/>
  <c r="H38" i="53"/>
  <c r="H39" i="53" s="1"/>
  <c r="H32" i="53"/>
  <c r="H33" i="53" s="1"/>
  <c r="G31" i="53" s="1"/>
  <c r="G32" i="53" s="1"/>
  <c r="H27" i="53"/>
  <c r="G26" i="53" s="1"/>
  <c r="G27" i="53" s="1"/>
  <c r="E25" i="53"/>
  <c r="C25" i="53"/>
  <c r="H22" i="53"/>
  <c r="H23" i="53" s="1"/>
  <c r="G21" i="53" s="1"/>
  <c r="G22" i="53" s="1"/>
  <c r="J19" i="53"/>
  <c r="I17" i="53"/>
  <c r="I18" i="53" s="1"/>
  <c r="H17" i="53"/>
  <c r="H18" i="53" s="1"/>
  <c r="E15" i="53"/>
  <c r="I12" i="53"/>
  <c r="I13" i="53" s="1"/>
  <c r="H12" i="53"/>
  <c r="H13" i="53" s="1"/>
  <c r="E10" i="53"/>
  <c r="B4" i="53"/>
  <c r="C10" i="51"/>
  <c r="B2" i="51"/>
  <c r="B3" i="51"/>
  <c r="B9" i="51"/>
  <c r="B20" i="51"/>
  <c r="B29" i="51"/>
  <c r="B30" i="51"/>
  <c r="C30" i="51"/>
  <c r="D30" i="51"/>
  <c r="G16" i="53" l="1"/>
  <c r="G17" i="53" s="1"/>
  <c r="G11" i="53"/>
  <c r="G12" i="53" s="1"/>
  <c r="C10" i="53"/>
  <c r="C20" i="53"/>
  <c r="C30" i="53"/>
  <c r="G37" i="53"/>
  <c r="G38" i="53" s="1"/>
  <c r="C58" i="53"/>
  <c r="G74" i="53"/>
  <c r="C78" i="53"/>
  <c r="C62" i="53"/>
  <c r="G68" i="53"/>
  <c r="C46" i="53"/>
  <c r="C56" i="53"/>
  <c r="C57" i="53"/>
  <c r="C60" i="53"/>
  <c r="D10" i="51"/>
  <c r="C28" i="51"/>
  <c r="C27" i="51"/>
  <c r="D27" i="51" s="1"/>
  <c r="C26" i="51"/>
  <c r="D26" i="51" s="1"/>
  <c r="C25" i="51"/>
  <c r="D25" i="51" s="1"/>
  <c r="C24" i="51"/>
  <c r="D24" i="51" s="1"/>
  <c r="C23" i="51"/>
  <c r="D23" i="51" s="1"/>
  <c r="C22" i="51"/>
  <c r="D22" i="51" s="1"/>
  <c r="C21" i="51"/>
  <c r="C8" i="51"/>
  <c r="D8" i="51" s="1"/>
  <c r="C7" i="51"/>
  <c r="D7" i="51" s="1"/>
  <c r="C6" i="51"/>
  <c r="D6" i="51" s="1"/>
  <c r="C5" i="51"/>
  <c r="D5" i="51" s="1"/>
  <c r="C4" i="51"/>
  <c r="C17" i="51"/>
  <c r="D17" i="51" s="1"/>
  <c r="C15" i="51"/>
  <c r="C14" i="51"/>
  <c r="D14" i="51" s="1"/>
  <c r="C13" i="51"/>
  <c r="D13" i="51" s="1"/>
  <c r="C12" i="51"/>
  <c r="D12" i="51" s="1"/>
  <c r="C11" i="51"/>
  <c r="D11" i="51" s="1"/>
  <c r="D15" i="51" l="1"/>
  <c r="D59" i="53"/>
  <c r="D58" i="53" s="1"/>
  <c r="F58" i="53" s="1"/>
  <c r="C36" i="53"/>
  <c r="C35" i="53" s="1"/>
  <c r="C68" i="53"/>
  <c r="C73" i="53"/>
  <c r="C15" i="53"/>
  <c r="C9" i="53" s="1"/>
  <c r="C67" i="53"/>
  <c r="C77" i="53"/>
  <c r="D21" i="51"/>
  <c r="D20" i="51" s="1"/>
  <c r="C20" i="51"/>
  <c r="D9" i="51"/>
  <c r="D4" i="51"/>
  <c r="D3" i="51" s="1"/>
  <c r="C3" i="51"/>
  <c r="D28" i="51"/>
  <c r="D29" i="51" s="1"/>
  <c r="C29" i="51"/>
  <c r="C34" i="51" s="1"/>
  <c r="C9" i="51"/>
  <c r="C69" i="53" l="1"/>
  <c r="C74" i="53"/>
  <c r="G48" i="50"/>
  <c r="G47" i="50"/>
  <c r="C75" i="53" l="1"/>
  <c r="C66" i="53"/>
  <c r="G37" i="50"/>
  <c r="C72" i="53" l="1"/>
  <c r="C64" i="53" s="1"/>
  <c r="C120" i="53" s="1"/>
  <c r="I38" i="50"/>
  <c r="G43" i="50" l="1"/>
  <c r="G42" i="50"/>
  <c r="G38" i="50"/>
  <c r="G32" i="50"/>
  <c r="G31" i="50"/>
  <c r="G27" i="50"/>
  <c r="G26" i="50"/>
  <c r="G22" i="50"/>
  <c r="G21" i="50"/>
  <c r="G17" i="50"/>
  <c r="G16" i="50"/>
  <c r="G12" i="50"/>
  <c r="G11" i="50"/>
  <c r="D65" i="50"/>
  <c r="D71" i="50"/>
  <c r="D74" i="50"/>
  <c r="D73" i="50"/>
  <c r="H54" i="50"/>
  <c r="H55" i="50" s="1"/>
  <c r="D68" i="50"/>
  <c r="D67" i="50"/>
  <c r="B68" i="50"/>
  <c r="B67" i="50"/>
  <c r="F52" i="52" l="1"/>
  <c r="F53" i="52" s="1"/>
  <c r="F49" i="52"/>
  <c r="F48" i="52"/>
  <c r="F47" i="52"/>
  <c r="F42" i="52"/>
  <c r="F44" i="52" s="1"/>
  <c r="F43" i="52"/>
  <c r="F39" i="52"/>
  <c r="F38" i="52"/>
  <c r="F37" i="52"/>
  <c r="F32" i="52"/>
  <c r="F31" i="52"/>
  <c r="F28" i="52"/>
  <c r="F27" i="52"/>
  <c r="F26" i="52"/>
  <c r="F21" i="52"/>
  <c r="F23" i="52" s="1"/>
  <c r="F22" i="52"/>
  <c r="F18" i="52"/>
  <c r="F17" i="52"/>
  <c r="F16" i="52"/>
  <c r="H38" i="52" l="1"/>
  <c r="B73" i="50" l="1"/>
  <c r="G74" i="50"/>
  <c r="G73" i="50"/>
  <c r="H74" i="50"/>
  <c r="H75" i="50" s="1"/>
  <c r="G68" i="50"/>
  <c r="G67" i="50"/>
  <c r="H68" i="50"/>
  <c r="H69" i="50" s="1"/>
  <c r="H53" i="50"/>
  <c r="G52" i="50" s="1"/>
  <c r="G53" i="50" s="1"/>
  <c r="H48" i="50"/>
  <c r="H49" i="50" s="1"/>
  <c r="H43" i="50"/>
  <c r="H44" i="50" s="1"/>
  <c r="H45" i="50" s="1"/>
  <c r="H38" i="50"/>
  <c r="H39" i="50" s="1"/>
  <c r="H40" i="50" s="1"/>
  <c r="H32" i="50"/>
  <c r="H33" i="50" s="1"/>
  <c r="H34" i="50" s="1"/>
  <c r="H27" i="50"/>
  <c r="H28" i="50" s="1"/>
  <c r="H22" i="50"/>
  <c r="H23" i="50" s="1"/>
  <c r="H24" i="50" s="1"/>
  <c r="I17" i="50"/>
  <c r="I18" i="50" s="1"/>
  <c r="I19" i="50" s="1"/>
  <c r="H17" i="50"/>
  <c r="H18" i="50" s="1"/>
  <c r="H19" i="50" s="1"/>
  <c r="I12" i="50"/>
  <c r="I13" i="50" s="1"/>
  <c r="I14" i="50" s="1"/>
  <c r="H12" i="50"/>
  <c r="H13" i="50" s="1"/>
  <c r="H14" i="50" s="1"/>
  <c r="I39" i="50"/>
  <c r="I40" i="50" s="1"/>
  <c r="J19" i="50"/>
  <c r="B73" i="52"/>
  <c r="F75" i="52"/>
  <c r="F74" i="52"/>
  <c r="F73" i="52"/>
  <c r="G74" i="52"/>
  <c r="B67" i="52"/>
  <c r="F69" i="52"/>
  <c r="F68" i="52"/>
  <c r="F67" i="52"/>
  <c r="G68" i="52"/>
  <c r="B29" i="48"/>
  <c r="G53" i="52"/>
  <c r="G48" i="52"/>
  <c r="G43" i="52"/>
  <c r="G38" i="52"/>
  <c r="G32" i="52"/>
  <c r="G27" i="52"/>
  <c r="I17" i="52"/>
  <c r="H17" i="52"/>
  <c r="H12" i="52"/>
  <c r="G12" i="52"/>
  <c r="G22" i="52" l="1"/>
  <c r="G23" i="52" s="1"/>
  <c r="G24" i="52" s="1"/>
  <c r="G17" i="52"/>
  <c r="G18" i="52" s="1"/>
  <c r="G19" i="52" s="1"/>
  <c r="G13" i="52"/>
  <c r="G14" i="52" s="1"/>
  <c r="G75" i="52"/>
  <c r="G69" i="52"/>
  <c r="G54" i="52"/>
  <c r="G55" i="52" s="1"/>
  <c r="G49" i="52"/>
  <c r="G44" i="52"/>
  <c r="G45" i="52" s="1"/>
  <c r="H39" i="52"/>
  <c r="H40" i="52" s="1"/>
  <c r="G39" i="52"/>
  <c r="G40" i="52" s="1"/>
  <c r="G33" i="52"/>
  <c r="G34" i="52" s="1"/>
  <c r="G28" i="52"/>
  <c r="I19" i="52"/>
  <c r="H18" i="52"/>
  <c r="H19" i="52" s="1"/>
  <c r="H13" i="52"/>
  <c r="H14" i="52" s="1"/>
  <c r="F11" i="52" l="1"/>
  <c r="F12" i="52" s="1"/>
  <c r="F13" i="52" s="1"/>
  <c r="D2" i="34"/>
  <c r="B2" i="34"/>
  <c r="C119" i="52" l="1"/>
  <c r="B119" i="52"/>
  <c r="D119" i="52"/>
  <c r="D99" i="52" s="1"/>
  <c r="F85" i="52"/>
  <c r="F79" i="52"/>
  <c r="B79" i="52" s="1"/>
  <c r="F77" i="52"/>
  <c r="B78" i="52" s="1"/>
  <c r="F72" i="52"/>
  <c r="F66" i="52"/>
  <c r="F62" i="52"/>
  <c r="F58" i="52"/>
  <c r="B59" i="52" s="1"/>
  <c r="B58" i="52" s="1"/>
  <c r="F56" i="52"/>
  <c r="F51" i="52"/>
  <c r="F46" i="52"/>
  <c r="F41" i="52"/>
  <c r="F36" i="52"/>
  <c r="F35" i="52"/>
  <c r="F25" i="52"/>
  <c r="F20" i="52"/>
  <c r="F15" i="52"/>
  <c r="F10" i="52"/>
  <c r="E84" i="52"/>
  <c r="C84" i="52"/>
  <c r="D79" i="52"/>
  <c r="D77" i="52"/>
  <c r="B74" i="52"/>
  <c r="C74" i="52" s="1"/>
  <c r="C73" i="52"/>
  <c r="D72" i="52"/>
  <c r="C71" i="52"/>
  <c r="B68" i="52"/>
  <c r="C67" i="52"/>
  <c r="D66" i="52"/>
  <c r="C65" i="52"/>
  <c r="E65" i="52" s="1"/>
  <c r="D64" i="52"/>
  <c r="B63" i="52"/>
  <c r="B62" i="52" s="1"/>
  <c r="D62" i="52"/>
  <c r="E61" i="52"/>
  <c r="C61" i="52"/>
  <c r="B60" i="52"/>
  <c r="E60" i="52" s="1"/>
  <c r="D58" i="52"/>
  <c r="B57" i="52"/>
  <c r="D56" i="52"/>
  <c r="B51" i="52"/>
  <c r="D51" i="52"/>
  <c r="D46" i="52"/>
  <c r="B46" i="52"/>
  <c r="B41" i="52"/>
  <c r="D41" i="52"/>
  <c r="D36" i="52"/>
  <c r="B36" i="52"/>
  <c r="D35" i="52"/>
  <c r="D30" i="52"/>
  <c r="D25" i="52"/>
  <c r="B25" i="52"/>
  <c r="D20" i="52"/>
  <c r="B20" i="52"/>
  <c r="C20" i="52" s="1"/>
  <c r="E20" i="52" s="1"/>
  <c r="D15" i="52"/>
  <c r="B15" i="52"/>
  <c r="D10" i="52"/>
  <c r="D9" i="52" s="1"/>
  <c r="B10" i="52"/>
  <c r="B4" i="52"/>
  <c r="D88" i="52" l="1"/>
  <c r="G79" i="52"/>
  <c r="G85" i="52"/>
  <c r="D108" i="52"/>
  <c r="D87" i="52"/>
  <c r="D96" i="52"/>
  <c r="D94" i="52"/>
  <c r="D92" i="52"/>
  <c r="D90" i="52"/>
  <c r="D117" i="52"/>
  <c r="D115" i="52"/>
  <c r="D113" i="52"/>
  <c r="D111" i="52"/>
  <c r="D109" i="52"/>
  <c r="D106" i="52"/>
  <c r="D104" i="52"/>
  <c r="D102" i="52"/>
  <c r="D100" i="52"/>
  <c r="D95" i="52"/>
  <c r="D93" i="52"/>
  <c r="D91" i="52"/>
  <c r="D89" i="52"/>
  <c r="D98" i="52"/>
  <c r="D116" i="52"/>
  <c r="D114" i="52"/>
  <c r="D112" i="52"/>
  <c r="D110" i="52"/>
  <c r="D107" i="52"/>
  <c r="D105" i="52"/>
  <c r="D103" i="52"/>
  <c r="D101" i="52"/>
  <c r="B75" i="52"/>
  <c r="C75" i="52" s="1"/>
  <c r="B69" i="52"/>
  <c r="B66" i="52" s="1"/>
  <c r="C79" i="52"/>
  <c r="E79" i="52" s="1"/>
  <c r="C10" i="52"/>
  <c r="E10" i="52" s="1"/>
  <c r="C41" i="52"/>
  <c r="E41" i="52" s="1"/>
  <c r="C57" i="52"/>
  <c r="B56" i="52"/>
  <c r="B35" i="52" s="1"/>
  <c r="C62" i="52"/>
  <c r="E62" i="52" s="1"/>
  <c r="C51" i="52"/>
  <c r="E51" i="52" s="1"/>
  <c r="C58" i="52"/>
  <c r="E58" i="52" s="1"/>
  <c r="C69" i="52"/>
  <c r="B72" i="52"/>
  <c r="C78" i="52"/>
  <c r="B77" i="52"/>
  <c r="C15" i="52"/>
  <c r="E15" i="52" s="1"/>
  <c r="C25" i="52"/>
  <c r="E25" i="52" s="1"/>
  <c r="C36" i="52"/>
  <c r="E36" i="52" s="1"/>
  <c r="C46" i="52"/>
  <c r="E46" i="52" s="1"/>
  <c r="C60" i="52"/>
  <c r="C68" i="52"/>
  <c r="E23" i="34"/>
  <c r="E24" i="34"/>
  <c r="E25" i="34"/>
  <c r="E26" i="34"/>
  <c r="E27" i="34"/>
  <c r="E28" i="34"/>
  <c r="E29" i="34"/>
  <c r="E22" i="34"/>
  <c r="E14" i="34"/>
  <c r="E15" i="34"/>
  <c r="E16" i="34"/>
  <c r="E17" i="34"/>
  <c r="E18" i="34"/>
  <c r="E19" i="34"/>
  <c r="E20" i="34"/>
  <c r="E13" i="34"/>
  <c r="E12" i="34" s="1"/>
  <c r="E7" i="34"/>
  <c r="E8" i="34"/>
  <c r="E9" i="34"/>
  <c r="E10" i="34"/>
  <c r="E6" i="34"/>
  <c r="E5" i="34" s="1"/>
  <c r="C28" i="34"/>
  <c r="D84" i="53" s="1"/>
  <c r="F84" i="53" s="1"/>
  <c r="D30" i="34"/>
  <c r="D32" i="34" s="1"/>
  <c r="E30" i="34"/>
  <c r="D21" i="34"/>
  <c r="E21" i="34"/>
  <c r="D12" i="34"/>
  <c r="D5" i="34"/>
  <c r="D97" i="52" l="1"/>
  <c r="D86" i="52"/>
  <c r="C77" i="52"/>
  <c r="E77" i="52" s="1"/>
  <c r="C72" i="52"/>
  <c r="E72" i="52" s="1"/>
  <c r="C66" i="52"/>
  <c r="E66" i="52" s="1"/>
  <c r="B64" i="52"/>
  <c r="C56" i="52"/>
  <c r="E118" i="50"/>
  <c r="D118" i="50"/>
  <c r="B118" i="50"/>
  <c r="C6" i="34"/>
  <c r="D10" i="53" s="1"/>
  <c r="F10" i="53" l="1"/>
  <c r="D85" i="52"/>
  <c r="D118" i="52" s="1"/>
  <c r="D120" i="52" s="1"/>
  <c r="C35" i="52"/>
  <c r="E35" i="52" s="1"/>
  <c r="E56" i="52"/>
  <c r="C64" i="52"/>
  <c r="C73" i="50"/>
  <c r="B74" i="50"/>
  <c r="C67" i="50"/>
  <c r="C8" i="34"/>
  <c r="D20" i="53" s="1"/>
  <c r="F20" i="53" s="1"/>
  <c r="C68" i="50" l="1"/>
  <c r="C74" i="50"/>
  <c r="E64" i="52"/>
  <c r="G20" i="50"/>
  <c r="B20" i="50" s="1"/>
  <c r="B4" i="50"/>
  <c r="C20" i="50" l="1"/>
  <c r="D20" i="50"/>
  <c r="C7" i="34"/>
  <c r="C9" i="34"/>
  <c r="C10" i="34"/>
  <c r="D30" i="53" s="1"/>
  <c r="F30" i="53" s="1"/>
  <c r="C11" i="34"/>
  <c r="C13" i="34"/>
  <c r="C14" i="34"/>
  <c r="C15" i="34"/>
  <c r="C16" i="34"/>
  <c r="C17" i="34"/>
  <c r="C18" i="34"/>
  <c r="C19" i="34"/>
  <c r="C20" i="34"/>
  <c r="C22" i="34"/>
  <c r="C23" i="34"/>
  <c r="C24" i="34"/>
  <c r="C25" i="34"/>
  <c r="C26" i="34"/>
  <c r="C27" i="34"/>
  <c r="C29" i="34"/>
  <c r="D85" i="53" s="1"/>
  <c r="F85" i="53" s="1"/>
  <c r="G10" i="50"/>
  <c r="B10" i="50" s="1"/>
  <c r="B30" i="34"/>
  <c r="B32" i="34" s="1"/>
  <c r="B21" i="34"/>
  <c r="B12" i="34"/>
  <c r="B5" i="34"/>
  <c r="G79" i="50" l="1"/>
  <c r="B79" i="50" s="1"/>
  <c r="D79" i="50" s="1"/>
  <c r="D79" i="53"/>
  <c r="F79" i="53" s="1"/>
  <c r="G72" i="50"/>
  <c r="D72" i="53"/>
  <c r="F72" i="53" s="1"/>
  <c r="G66" i="50"/>
  <c r="G69" i="50" s="1"/>
  <c r="B69" i="50" s="1"/>
  <c r="D66" i="53"/>
  <c r="G62" i="50"/>
  <c r="B63" i="50" s="1"/>
  <c r="D63" i="53"/>
  <c r="D62" i="53" s="1"/>
  <c r="F62" i="53" s="1"/>
  <c r="D118" i="53"/>
  <c r="D117" i="53" s="1"/>
  <c r="G51" i="50"/>
  <c r="B51" i="50" s="1"/>
  <c r="D51" i="53"/>
  <c r="F51" i="53" s="1"/>
  <c r="G41" i="50"/>
  <c r="B41" i="50" s="1"/>
  <c r="D41" i="53"/>
  <c r="F41" i="53" s="1"/>
  <c r="G25" i="50"/>
  <c r="D25" i="53"/>
  <c r="F25" i="53" s="1"/>
  <c r="G77" i="50"/>
  <c r="B78" i="50" s="1"/>
  <c r="D78" i="50" s="1"/>
  <c r="D78" i="53"/>
  <c r="D77" i="53" s="1"/>
  <c r="F77" i="53" s="1"/>
  <c r="G56" i="50"/>
  <c r="B57" i="50" s="1"/>
  <c r="D57" i="50" s="1"/>
  <c r="D57" i="53"/>
  <c r="D56" i="53" s="1"/>
  <c r="F56" i="53" s="1"/>
  <c r="G46" i="50"/>
  <c r="D46" i="53"/>
  <c r="F46" i="53" s="1"/>
  <c r="G36" i="50"/>
  <c r="D36" i="53"/>
  <c r="G15" i="50"/>
  <c r="D15" i="53"/>
  <c r="B75" i="50"/>
  <c r="D75" i="50" s="1"/>
  <c r="G75" i="50"/>
  <c r="D69" i="50"/>
  <c r="B66" i="50"/>
  <c r="C51" i="50"/>
  <c r="D51" i="50"/>
  <c r="C41" i="50"/>
  <c r="D41" i="50"/>
  <c r="B25" i="50"/>
  <c r="G28" i="50"/>
  <c r="C10" i="50"/>
  <c r="D10" i="50"/>
  <c r="B85" i="50"/>
  <c r="D85" i="50" s="1"/>
  <c r="B85" i="52"/>
  <c r="B46" i="50"/>
  <c r="G49" i="50"/>
  <c r="B36" i="50"/>
  <c r="G39" i="50"/>
  <c r="G30" i="50"/>
  <c r="F30" i="52"/>
  <c r="B15" i="50"/>
  <c r="G18" i="50"/>
  <c r="C21" i="34"/>
  <c r="G85" i="50"/>
  <c r="C78" i="50"/>
  <c r="C75" i="50"/>
  <c r="C69" i="50"/>
  <c r="G58" i="50"/>
  <c r="B59" i="50" s="1"/>
  <c r="C12" i="34"/>
  <c r="G35" i="50" s="1"/>
  <c r="C57" i="50"/>
  <c r="B56" i="50"/>
  <c r="D56" i="50" s="1"/>
  <c r="C5" i="34"/>
  <c r="C30" i="34"/>
  <c r="C34" i="34" s="1"/>
  <c r="D128" i="53" s="1"/>
  <c r="E97" i="50"/>
  <c r="D84" i="50"/>
  <c r="F84" i="50" s="1"/>
  <c r="C84" i="50"/>
  <c r="E79" i="50"/>
  <c r="E77" i="50"/>
  <c r="B77" i="50"/>
  <c r="D77" i="50" s="1"/>
  <c r="E72" i="50"/>
  <c r="C71" i="50"/>
  <c r="E66" i="50"/>
  <c r="E64" i="50" s="1"/>
  <c r="F65" i="50"/>
  <c r="C65" i="50"/>
  <c r="E62" i="50"/>
  <c r="B62" i="50"/>
  <c r="D61" i="50"/>
  <c r="F61" i="50" s="1"/>
  <c r="C61" i="50"/>
  <c r="B60" i="50"/>
  <c r="D60" i="50" s="1"/>
  <c r="F60" i="50" s="1"/>
  <c r="E58" i="50"/>
  <c r="E56" i="50"/>
  <c r="C56" i="50"/>
  <c r="E51" i="50"/>
  <c r="F51" i="50"/>
  <c r="E46" i="50"/>
  <c r="E41" i="50"/>
  <c r="E36" i="50"/>
  <c r="E30" i="50"/>
  <c r="E25" i="50"/>
  <c r="E20" i="50"/>
  <c r="E15" i="50"/>
  <c r="E10" i="50"/>
  <c r="E9" i="50" s="1"/>
  <c r="F66" i="53" l="1"/>
  <c r="D64" i="53"/>
  <c r="F64" i="53" s="1"/>
  <c r="F15" i="53"/>
  <c r="D9" i="53"/>
  <c r="F9" i="53" s="1"/>
  <c r="F36" i="53"/>
  <c r="D35" i="53"/>
  <c r="F35" i="53" s="1"/>
  <c r="C62" i="50"/>
  <c r="D62" i="50"/>
  <c r="G9" i="50"/>
  <c r="F9" i="52"/>
  <c r="F33" i="52"/>
  <c r="B30" i="52"/>
  <c r="C85" i="52"/>
  <c r="C15" i="50"/>
  <c r="D15" i="50"/>
  <c r="B30" i="50"/>
  <c r="G33" i="50"/>
  <c r="C36" i="50"/>
  <c r="D36" i="50"/>
  <c r="C46" i="50"/>
  <c r="D46" i="50"/>
  <c r="C25" i="50"/>
  <c r="D25" i="50"/>
  <c r="F41" i="50"/>
  <c r="C60" i="50"/>
  <c r="E86" i="50"/>
  <c r="E85" i="50" s="1"/>
  <c r="F46" i="50"/>
  <c r="F77" i="50"/>
  <c r="C77" i="50"/>
  <c r="E35" i="50"/>
  <c r="F15" i="50"/>
  <c r="B72" i="50"/>
  <c r="D72" i="50" s="1"/>
  <c r="F56" i="50"/>
  <c r="F62" i="50"/>
  <c r="B58" i="50"/>
  <c r="C85" i="50"/>
  <c r="D120" i="53" l="1"/>
  <c r="B35" i="50"/>
  <c r="D58" i="50"/>
  <c r="C30" i="52"/>
  <c r="B9" i="52"/>
  <c r="B118" i="52" s="1"/>
  <c r="B120" i="52" s="1"/>
  <c r="C30" i="50"/>
  <c r="D30" i="50"/>
  <c r="F30" i="50" s="1"/>
  <c r="E85" i="52"/>
  <c r="F72" i="50"/>
  <c r="C72" i="50"/>
  <c r="E117" i="50"/>
  <c r="F85" i="50"/>
  <c r="F36" i="50"/>
  <c r="F58" i="50"/>
  <c r="C58" i="50"/>
  <c r="C35" i="50" s="1"/>
  <c r="F25" i="50"/>
  <c r="F79" i="50"/>
  <c r="C79" i="50"/>
  <c r="C9" i="50"/>
  <c r="F120" i="53" l="1"/>
  <c r="E30" i="52"/>
  <c r="C9" i="52"/>
  <c r="C66" i="50"/>
  <c r="D66" i="50"/>
  <c r="B9" i="50"/>
  <c r="F20" i="50"/>
  <c r="D35" i="50"/>
  <c r="F35" i="50" s="1"/>
  <c r="B64" i="50"/>
  <c r="B117" i="50" s="1"/>
  <c r="B119" i="50" s="1"/>
  <c r="C64" i="50"/>
  <c r="C117" i="50" s="1"/>
  <c r="C119" i="50" s="1"/>
  <c r="E9" i="52" l="1"/>
  <c r="C118" i="52"/>
  <c r="F66" i="50"/>
  <c r="D64" i="50"/>
  <c r="F10" i="50"/>
  <c r="D9" i="50"/>
  <c r="F9" i="50" s="1"/>
  <c r="C120" i="52" l="1"/>
  <c r="E118" i="52"/>
  <c r="F64" i="50"/>
  <c r="D117" i="50"/>
  <c r="D119" i="50" s="1"/>
  <c r="F117" i="50" l="1"/>
</calcChain>
</file>

<file path=xl/sharedStrings.xml><?xml version="1.0" encoding="utf-8"?>
<sst xmlns="http://schemas.openxmlformats.org/spreadsheetml/2006/main" count="571" uniqueCount="194">
  <si>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</si>
  <si>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</si>
  <si>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</si>
  <si>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</si>
  <si>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</si>
  <si>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</si>
  <si>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</si>
  <si>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</si>
  <si>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</si>
  <si>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</si>
  <si>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</si>
  <si>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</si>
  <si>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</si>
  <si>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</si>
  <si>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</si>
  <si>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</si>
  <si>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</si>
  <si>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</si>
  <si>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</si>
  <si>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</si>
  <si>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</si>
  <si>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</si>
  <si>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</si>
  <si>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</si>
  <si>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</si>
  <si>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</si>
  <si>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</si>
  <si>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</si>
  <si>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</si>
  <si>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</si>
  <si>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</si>
  <si>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</si>
  <si>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</si>
  <si>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Старостюк И.В.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</si>
  <si>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</si>
  <si>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</si>
  <si>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</si>
  <si>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</si>
  <si>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</si>
  <si>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</si>
  <si>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</si>
  <si>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</si>
  <si>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</si>
  <si>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</si>
  <si>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</si>
  <si>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</si>
  <si>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</si>
  <si>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</si>
  <si>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</si>
  <si>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</si>
  <si>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</si>
  <si>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</si>
  <si>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</si>
  <si>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</si>
  <si>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</si>
  <si>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</si>
  <si>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</si>
  <si>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</si>
  <si>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</si>
  <si>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</si>
  <si>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</si>
  <si>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горюче-смазочные материалы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</si>
  <si>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</si>
  <si>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</si>
  <si>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</si>
  <si>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</si>
  <si>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Расходы по организации работ</t>
  </si>
  <si>
    <t>износ и списание МБП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</si>
  <si>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</si>
  <si>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</si>
  <si>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</si>
  <si>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</si>
  <si>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</si>
  <si>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</si>
  <si>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</si>
  <si>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</si>
  <si>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Содержание компьютерной техники</t>
  </si>
  <si>
    <t>Командировки и перемещения</t>
  </si>
  <si>
    <t>охрана труда и техника безопасности</t>
  </si>
  <si>
    <t>содержание пожарной и сторожевой охраны, производственных мастерских</t>
  </si>
  <si>
    <t>IV и V Расходы на управление жилищным фондом и  Общие эксплуатационные расходы</t>
  </si>
  <si>
    <t>Калькуляция себестоимости услуг по содержанию домов, сооружений и придомовых территорий</t>
  </si>
  <si>
    <t xml:space="preserve">Тариф на услуги по содержанию домов, сооружений и придомовой территорий  </t>
  </si>
  <si>
    <t xml:space="preserve">Материалы </t>
  </si>
  <si>
    <t xml:space="preserve">Договор на обслуживание лифтов </t>
  </si>
  <si>
    <r>
      <t xml:space="preserve">Заработная плата работников АУП </t>
    </r>
    <r>
      <rPr>
        <sz val="10"/>
        <color indexed="8"/>
        <rFont val="Times New Roman"/>
        <family val="1"/>
        <charset val="204"/>
      </rPr>
      <t>(начальник, бухгалтера, секретарь и пр.)</t>
    </r>
  </si>
  <si>
    <r>
      <t xml:space="preserve">Заработная плата работников общего производства </t>
    </r>
    <r>
      <rPr>
        <sz val="11"/>
        <color indexed="8"/>
        <rFont val="Times New Roman"/>
        <family val="1"/>
        <charset val="204"/>
      </rPr>
      <t>(инженеры, кладовщики, водители, мастера,  и пр.)</t>
    </r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</si>
  <si>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</si>
  <si>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</si>
  <si>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</si>
  <si>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</si>
  <si>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</si>
  <si>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 xml:space="preserve"> за период с 01.01.2019  по 31.12.2019</t>
  </si>
  <si>
    <t>договор с ГУП РК "Крымэнерго (счет, акт )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</si>
  <si>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</si>
  <si>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</si>
  <si>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</si>
  <si>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</si>
  <si>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</si>
  <si>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</si>
  <si>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</si>
  <si>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Площадь квартир с централизованным отоплением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</si>
  <si>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</si>
  <si>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</si>
  <si>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</si>
  <si>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</si>
  <si>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</si>
  <si>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</si>
  <si>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</si>
  <si>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</si>
  <si>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</si>
  <si>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</si>
  <si>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</si>
  <si>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</si>
  <si>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</si>
  <si>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</si>
  <si>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</si>
  <si>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</si>
  <si>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</si>
  <si>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</si>
  <si>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</si>
  <si>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</si>
  <si>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</si>
  <si>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</si>
  <si>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</si>
  <si>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</si>
  <si>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</si>
  <si>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</si>
  <si>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</si>
  <si>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Расход  электроэнергии лифтов, кВт, (за прошлый год)</t>
  </si>
  <si>
    <t>Расход электроэнергии МОП, кВт,  (за прошлый год)</t>
  </si>
  <si>
    <t>Площадь контейнерных площадок, м.кв.</t>
  </si>
  <si>
    <t>да</t>
  </si>
  <si>
    <t>РЕЧНАЯ, 4Б</t>
  </si>
  <si>
    <t>каменщик 3р.</t>
  </si>
  <si>
    <t>плотник 4р.</t>
  </si>
  <si>
    <t>штукатур 4р.</t>
  </si>
  <si>
    <t>маляр 3р.</t>
  </si>
  <si>
    <t>маляр 2р.</t>
  </si>
  <si>
    <t>столяр 3р.</t>
  </si>
  <si>
    <t>подсобный раб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</si>
  <si>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</si>
  <si>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</si>
  <si>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</si>
  <si>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</si>
  <si>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</si>
  <si>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Дворник 1р.</t>
  </si>
  <si>
    <t>Уборщик мусоропровода 1р.</t>
  </si>
  <si>
    <r>
      <t>Заработная плата рабочих (</t>
    </r>
    <r>
      <rPr>
        <sz val="12"/>
        <rFont val="Times New Roman"/>
        <family val="1"/>
        <charset val="204"/>
      </rPr>
      <t>Дворник</t>
    </r>
    <r>
      <rPr>
        <sz val="12"/>
        <color indexed="8"/>
        <rFont val="Times New Roman"/>
        <family val="1"/>
        <charset val="204"/>
      </rPr>
      <t>)</t>
    </r>
  </si>
  <si>
    <t>Заработная плата рабочих (Уборщик мусоропроводов)</t>
  </si>
  <si>
    <t>договор с ГУП РК "Крымэнерго (счет, акт)</t>
  </si>
  <si>
    <t xml:space="preserve"> за период с 01.01.2020  по 31.12.2020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</si>
  <si>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лестниц,колонн и столбов,балок (ригелей) перекрытий, лестниц</t>
  </si>
  <si>
    <t>с 01.10.2021</t>
  </si>
  <si>
    <t>ТАРИФ</t>
  </si>
  <si>
    <t>Итого в месяц</t>
  </si>
  <si>
    <t>Итого в год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</si>
  <si>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</si>
  <si>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</si>
  <si>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</si>
  <si>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</si>
  <si>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</si>
  <si>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</si>
  <si>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</si>
  <si>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</si>
  <si>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</si>
  <si>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</si>
  <si>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</si>
  <si>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 Техническое обслуживание лифта (лифтов) в многоквартирном доме, в том числе: - техническое обслуживание лифтов; -аварийное обслуживание лифтов; -диспетчерский контроль и техническое обслуживание систем диспетчерской связи лифтов; - страхование обязательной гражданской ответственности владельца опасного объекта (лифта);  -оценка соответствия лифтов, отработавших назначенный срок службы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</si>
  <si>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</si>
  <si>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</si>
  <si>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</si>
  <si>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</si>
  <si>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</si>
  <si>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</si>
  <si>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</si>
  <si>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</si>
  <si>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</si>
  <si>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</si>
  <si>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</si>
  <si>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</si>
  <si>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</si>
  <si>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 xml:space="preserve">ИТОГО тариф руб.на 1 м.кв. общей площади квартир 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</si>
  <si>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</si>
  <si>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</si>
  <si>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</si>
  <si>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3 мес</t>
  </si>
  <si>
    <t xml:space="preserve"> за период с 01.01.2021  по 31.12.2021</t>
  </si>
  <si>
    <t>Речная, 4Б</t>
  </si>
  <si>
    <t>Стоимость по договору</t>
  </si>
  <si>
    <t>Речная 4 Б</t>
  </si>
  <si>
    <t>Отчет по выполненным работам и  услугам по содержанию домов, сооружений и придомовых территорий</t>
  </si>
  <si>
    <t>Задолженность населения на 31.12.2021, руб. (с учетом оплат на будущий период и корректировок)</t>
  </si>
  <si>
    <t>Оплата за 2021 г., руб. (с учетом оплат на будущий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</si>
</sst>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"/>
    <numFmt numFmtId="170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6" fillId="0" borderId="0" xfId="0" applyFont="1"/>
    <xf numFmtId="0" fontId="1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19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Border="1"/>
    <xf numFmtId="168" fontId="7" fillId="0" borderId="1" xfId="0" applyNumberFormat="1" applyFont="1" applyBorder="1"/>
    <xf numFmtId="4" fontId="16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0" fontId="18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169" fontId="7" fillId="0" borderId="1" xfId="0" applyNumberFormat="1" applyFont="1" applyFill="1" applyBorder="1"/>
    <xf numFmtId="165" fontId="7" fillId="4" borderId="1" xfId="0" applyNumberFormat="1" applyFont="1" applyFill="1" applyBorder="1"/>
    <xf numFmtId="166" fontId="6" fillId="0" borderId="1" xfId="0" applyNumberFormat="1" applyFont="1" applyFill="1" applyBorder="1"/>
    <xf numFmtId="166" fontId="6" fillId="0" borderId="8" xfId="0" applyNumberFormat="1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166" fontId="12" fillId="2" borderId="1" xfId="0" applyNumberFormat="1" applyFont="1" applyFill="1" applyBorder="1"/>
    <xf numFmtId="2" fontId="4" fillId="0" borderId="1" xfId="0" applyNumberFormat="1" applyFont="1" applyBorder="1"/>
    <xf numFmtId="4" fontId="6" fillId="0" borderId="8" xfId="0" applyNumberFormat="1" applyFont="1" applyFill="1" applyBorder="1"/>
    <xf numFmtId="165" fontId="4" fillId="0" borderId="1" xfId="0" applyNumberFormat="1" applyFont="1" applyBorder="1"/>
    <xf numFmtId="4" fontId="5" fillId="0" borderId="1" xfId="0" applyNumberFormat="1" applyFont="1" applyBorder="1"/>
    <xf numFmtId="0" fontId="21" fillId="0" borderId="0" xfId="0" applyFont="1" applyBorder="1" applyAlignment="1">
      <alignment horizontal="left" vertical="center" wrapText="1" indent="5"/>
    </xf>
    <xf numFmtId="165" fontId="0" fillId="0" borderId="0" xfId="0" applyNumberFormat="1"/>
    <xf numFmtId="0" fontId="23" fillId="0" borderId="3" xfId="0" applyFont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/>
    <xf numFmtId="2" fontId="22" fillId="0" borderId="1" xfId="0" applyNumberFormat="1" applyFont="1" applyBorder="1"/>
    <xf numFmtId="2" fontId="0" fillId="0" borderId="1" xfId="0" applyNumberFormat="1" applyBorder="1"/>
    <xf numFmtId="4" fontId="6" fillId="0" borderId="0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167" fontId="4" fillId="0" borderId="0" xfId="0" applyNumberFormat="1" applyFont="1" applyBorder="1"/>
    <xf numFmtId="0" fontId="22" fillId="0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/>
    </xf>
    <xf numFmtId="4" fontId="22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5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25" fillId="0" borderId="1" xfId="0" applyNumberFormat="1" applyFont="1" applyBorder="1" applyAlignment="1">
      <alignment vertical="top"/>
    </xf>
    <xf numFmtId="4" fontId="25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top" wrapText="1"/>
    </xf>
    <xf numFmtId="0" fontId="22" fillId="0" borderId="0" xfId="0" applyFont="1"/>
    <xf numFmtId="2" fontId="1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6" fontId="16" fillId="0" borderId="1" xfId="0" applyNumberFormat="1" applyFont="1" applyBorder="1"/>
    <xf numFmtId="4" fontId="6" fillId="0" borderId="1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zoomScaleNormal="100" workbookViewId="0">
      <selection activeCell="E65" sqref="E65"/>
    </sheetView>
  </sheetViews>
  <sheetFormatPr defaultRowHeight="15" x14ac:dyDescent="0.25"/>
  <cols>
    <col min="1" max="1" width="62.28515625" style="1" customWidth="1"/>
    <col min="2" max="2" width="14.28515625" style="2" hidden="1" customWidth="1"/>
    <col min="3" max="3" width="13.7109375" style="2" hidden="1" customWidth="1"/>
    <col min="4" max="4" width="19.42578125" style="2" customWidth="1"/>
    <col min="5" max="5" width="18.5703125" style="2" customWidth="1"/>
    <col min="6" max="6" width="19.28515625" style="2" customWidth="1"/>
    <col min="7" max="7" width="17.140625" style="2" customWidth="1"/>
    <col min="8" max="8" width="20.28515625" style="1" customWidth="1"/>
    <col min="9" max="9" width="11.140625" style="1" customWidth="1"/>
    <col min="10" max="13" width="9.140625" style="1" customWidth="1"/>
    <col min="14" max="16384" width="9.140625" style="1"/>
  </cols>
  <sheetData>
    <row r="1" spans="1:11" ht="21" customHeight="1" x14ac:dyDescent="0.25">
      <c r="A1" s="154" t="s">
        <v>47</v>
      </c>
      <c r="B1" s="154"/>
      <c r="C1" s="154"/>
      <c r="D1" s="154"/>
      <c r="E1" s="154"/>
      <c r="F1" s="48"/>
    </row>
    <row r="2" spans="1:11" ht="30" customHeight="1" x14ac:dyDescent="0.25">
      <c r="A2" s="152" t="s">
        <v>191</v>
      </c>
      <c r="B2" s="152"/>
      <c r="C2" s="152"/>
      <c r="D2" s="152"/>
      <c r="E2" s="152"/>
      <c r="F2" s="48"/>
    </row>
    <row r="3" spans="1:11" ht="15.75" x14ac:dyDescent="0.25">
      <c r="A3" s="153" t="s">
        <v>187</v>
      </c>
      <c r="B3" s="153"/>
      <c r="C3" s="153"/>
      <c r="D3" s="153"/>
      <c r="E3" s="153"/>
      <c r="F3" s="148"/>
      <c r="G3" s="20"/>
    </row>
    <row r="4" spans="1:11" ht="17.25" customHeight="1" x14ac:dyDescent="0.25">
      <c r="A4" s="57" t="s">
        <v>1</v>
      </c>
      <c r="B4" s="145" t="str">
        <f>тариф!B2</f>
        <v>РЕЧНАЯ, 4Б</v>
      </c>
      <c r="C4" s="146"/>
      <c r="D4" s="161" t="s">
        <v>190</v>
      </c>
      <c r="E4" s="161"/>
      <c r="F4" s="147"/>
      <c r="G4" s="25"/>
    </row>
    <row r="5" spans="1:11" ht="20.25" customHeight="1" x14ac:dyDescent="0.25">
      <c r="A5" s="155" t="s">
        <v>30</v>
      </c>
      <c r="B5" s="158" t="s">
        <v>44</v>
      </c>
      <c r="C5" s="159"/>
      <c r="D5" s="160"/>
      <c r="E5" s="51" t="s">
        <v>45</v>
      </c>
      <c r="F5" s="51" t="s">
        <v>72</v>
      </c>
    </row>
    <row r="6" spans="1:11" ht="18" customHeight="1" x14ac:dyDescent="0.25">
      <c r="A6" s="156"/>
      <c r="B6" s="24" t="s">
        <v>43</v>
      </c>
      <c r="C6" s="24" t="s">
        <v>42</v>
      </c>
      <c r="D6" s="24" t="s">
        <v>42</v>
      </c>
      <c r="E6" s="24" t="s">
        <v>42</v>
      </c>
      <c r="F6" s="24"/>
      <c r="G6" s="26"/>
    </row>
    <row r="7" spans="1:11" ht="15.75" x14ac:dyDescent="0.25">
      <c r="A7" s="157"/>
      <c r="B7" s="34" t="s">
        <v>34</v>
      </c>
      <c r="C7" s="34" t="s">
        <v>34</v>
      </c>
      <c r="D7" s="34" t="s">
        <v>34</v>
      </c>
      <c r="E7" s="34" t="s">
        <v>34</v>
      </c>
      <c r="F7" s="34" t="s">
        <v>34</v>
      </c>
      <c r="G7" s="21"/>
    </row>
    <row r="8" spans="1:11" ht="15.75" hidden="1" x14ac:dyDescent="0.25">
      <c r="A8" s="55">
        <v>1</v>
      </c>
      <c r="B8" s="56">
        <v>2</v>
      </c>
      <c r="C8" s="56"/>
      <c r="D8" s="56">
        <v>3</v>
      </c>
      <c r="E8" s="56">
        <v>4</v>
      </c>
      <c r="F8" s="56">
        <v>5</v>
      </c>
      <c r="G8" s="21"/>
    </row>
    <row r="9" spans="1:11" ht="17.25" customHeight="1" x14ac:dyDescent="0.25">
      <c r="A9" s="29" t="s">
        <v>2</v>
      </c>
      <c r="B9" s="15"/>
      <c r="C9" s="15">
        <f>C10+C15+C20+C25+C30</f>
        <v>0</v>
      </c>
      <c r="D9" s="15">
        <f t="shared" ref="D9:E9" si="0">D10+D15+D20+D25+D30</f>
        <v>14646.011408640001</v>
      </c>
      <c r="E9" s="15">
        <f>E10+E15+E20+E25+E30</f>
        <v>137798</v>
      </c>
      <c r="F9" s="15">
        <f>D9-E9</f>
        <v>-123151.98859136</v>
      </c>
      <c r="G9" s="23"/>
      <c r="H9" s="23"/>
    </row>
    <row r="10" spans="1:11" ht="63.75" customHeight="1" x14ac:dyDescent="0.25">
      <c r="A10" s="31" t="s">
        <v>152</v>
      </c>
      <c r="B10" s="35"/>
      <c r="C10" s="35">
        <f>B10*12</f>
        <v>0</v>
      </c>
      <c r="D10" s="35">
        <f>'тариф 01.10.21'!C4*3+тариф!C6*9</f>
        <v>1485.0465139200001</v>
      </c>
      <c r="E10" s="35">
        <f>SUM(E11:E14)</f>
        <v>0</v>
      </c>
      <c r="F10" s="15">
        <f t="shared" ref="F10:F72" si="1">D10-E10</f>
        <v>1485.0465139200001</v>
      </c>
      <c r="G10" s="22"/>
      <c r="H10" s="1" t="s">
        <v>134</v>
      </c>
      <c r="I10" s="1" t="s">
        <v>135</v>
      </c>
    </row>
    <row r="11" spans="1:11" ht="17.25" hidden="1" customHeight="1" x14ac:dyDescent="0.25">
      <c r="A11" s="36" t="s">
        <v>36</v>
      </c>
      <c r="B11" s="35"/>
      <c r="C11" s="35"/>
      <c r="D11" s="35"/>
      <c r="E11" s="35">
        <v>0</v>
      </c>
      <c r="F11" s="15"/>
      <c r="G11" s="22">
        <f>H14+I14</f>
        <v>1100.94827661</v>
      </c>
      <c r="H11" s="18">
        <v>20387</v>
      </c>
      <c r="I11" s="1">
        <v>22182</v>
      </c>
      <c r="K11" s="18"/>
    </row>
    <row r="12" spans="1:11" ht="14.25" hidden="1" customHeight="1" x14ac:dyDescent="0.25">
      <c r="A12" s="36" t="s">
        <v>37</v>
      </c>
      <c r="B12" s="35"/>
      <c r="C12" s="35"/>
      <c r="D12" s="35"/>
      <c r="E12" s="35">
        <v>0</v>
      </c>
      <c r="F12" s="15"/>
      <c r="G12" s="22">
        <f>G11*0.302</f>
        <v>332.48637953622</v>
      </c>
      <c r="H12" s="86">
        <f>('ТХ МКД'!B7+'ТХ МКД'!B28*0.5)*0.0111/1000</f>
        <v>3.5334075E-2</v>
      </c>
      <c r="I12" s="86">
        <f>('ТХ МКД'!B7+'ТХ МКД'!B28*0.5)*0.00539/1000</f>
        <v>1.7157717499999999E-2</v>
      </c>
      <c r="J12" s="102"/>
    </row>
    <row r="13" spans="1:11" ht="14.25" hidden="1" customHeight="1" x14ac:dyDescent="0.25">
      <c r="A13" s="36" t="s">
        <v>38</v>
      </c>
      <c r="B13" s="35"/>
      <c r="C13" s="35"/>
      <c r="D13" s="35"/>
      <c r="E13" s="35">
        <v>0</v>
      </c>
      <c r="F13" s="15"/>
      <c r="G13" s="22"/>
      <c r="H13" s="86">
        <f>H12*0.109</f>
        <v>3.8514141749999998E-3</v>
      </c>
      <c r="I13" s="86">
        <f>I12*0.1339</f>
        <v>2.2974183732499998E-3</v>
      </c>
    </row>
    <row r="14" spans="1:11" ht="14.25" hidden="1" customHeight="1" x14ac:dyDescent="0.25">
      <c r="A14" s="36" t="s">
        <v>0</v>
      </c>
      <c r="B14" s="35"/>
      <c r="C14" s="35"/>
      <c r="D14" s="35"/>
      <c r="E14" s="35">
        <v>0</v>
      </c>
      <c r="F14" s="15"/>
      <c r="G14" s="22"/>
      <c r="H14" s="103">
        <f>H11*H12</f>
        <v>720.35578702500004</v>
      </c>
      <c r="I14" s="103">
        <f>I11*I12</f>
        <v>380.59248958499995</v>
      </c>
    </row>
    <row r="15" spans="1:11" ht="33.75" customHeight="1" x14ac:dyDescent="0.25">
      <c r="A15" s="31" t="s">
        <v>4</v>
      </c>
      <c r="B15" s="35"/>
      <c r="C15" s="35">
        <f>B15*12</f>
        <v>0</v>
      </c>
      <c r="D15" s="35">
        <f>'тариф 01.10.21'!C5*3+тариф!C7*9</f>
        <v>7232.4627302400004</v>
      </c>
      <c r="E15" s="35">
        <f>SUM(E16:E19)</f>
        <v>0</v>
      </c>
      <c r="F15" s="15">
        <f t="shared" si="1"/>
        <v>7232.4627302400004</v>
      </c>
      <c r="G15" s="22"/>
      <c r="H15" s="1" t="s">
        <v>136</v>
      </c>
      <c r="I15" s="1" t="s">
        <v>137</v>
      </c>
      <c r="J15" s="1" t="s">
        <v>138</v>
      </c>
    </row>
    <row r="16" spans="1:11" ht="15.75" hidden="1" customHeight="1" x14ac:dyDescent="0.25">
      <c r="A16" s="38" t="s">
        <v>36</v>
      </c>
      <c r="B16" s="35"/>
      <c r="C16" s="35"/>
      <c r="D16" s="35"/>
      <c r="E16" s="35">
        <v>0</v>
      </c>
      <c r="F16" s="15"/>
      <c r="G16" s="22">
        <f>H19+I19</f>
        <v>1616.4837950625001</v>
      </c>
      <c r="H16" s="1">
        <v>22182</v>
      </c>
      <c r="I16" s="1">
        <v>20387</v>
      </c>
      <c r="J16" s="1">
        <v>17438</v>
      </c>
    </row>
    <row r="17" spans="1:10" ht="17.25" hidden="1" customHeight="1" x14ac:dyDescent="0.25">
      <c r="A17" s="37" t="s">
        <v>37</v>
      </c>
      <c r="B17" s="35"/>
      <c r="C17" s="35"/>
      <c r="D17" s="35"/>
      <c r="E17" s="35">
        <v>0</v>
      </c>
      <c r="F17" s="15"/>
      <c r="G17" s="22">
        <f>G16*0.302</f>
        <v>488.178106108875</v>
      </c>
      <c r="H17" s="86">
        <f>('ТХ МКД'!B7+'ТХ МКД'!B28*0.5)*0.0018/1000</f>
        <v>5.7298499999999999E-3</v>
      </c>
      <c r="I17" s="86">
        <f>('ТХ МКД'!B7+'ТХ МКД'!B28*0.5)*0.02295/1000</f>
        <v>7.3055587500000005E-2</v>
      </c>
      <c r="J17" s="86"/>
    </row>
    <row r="18" spans="1:10" ht="17.25" hidden="1" customHeight="1" x14ac:dyDescent="0.25">
      <c r="A18" s="37" t="s">
        <v>38</v>
      </c>
      <c r="B18" s="35"/>
      <c r="C18" s="35"/>
      <c r="D18" s="35"/>
      <c r="E18" s="35">
        <v>0</v>
      </c>
      <c r="F18" s="15"/>
      <c r="G18" s="22"/>
      <c r="H18" s="86">
        <f>H17*0.5079</f>
        <v>2.9101908150000002E-3</v>
      </c>
      <c r="I18" s="86">
        <f>I17*0.2671</f>
        <v>1.9513147421250002E-2</v>
      </c>
      <c r="J18" s="18"/>
    </row>
    <row r="19" spans="1:10" ht="17.25" hidden="1" customHeight="1" x14ac:dyDescent="0.25">
      <c r="A19" s="37" t="s">
        <v>0</v>
      </c>
      <c r="B19" s="35"/>
      <c r="C19" s="35"/>
      <c r="D19" s="35"/>
      <c r="E19" s="35">
        <v>0</v>
      </c>
      <c r="F19" s="15"/>
      <c r="G19" s="22"/>
      <c r="H19" s="103">
        <f>H16*H17</f>
        <v>127.0995327</v>
      </c>
      <c r="I19" s="103">
        <f>I16*I17</f>
        <v>1489.3842623625001</v>
      </c>
      <c r="J19" s="104">
        <f>J18/2</f>
        <v>0</v>
      </c>
    </row>
    <row r="20" spans="1:10" ht="48" customHeight="1" x14ac:dyDescent="0.25">
      <c r="A20" s="31" t="s">
        <v>5</v>
      </c>
      <c r="B20" s="35"/>
      <c r="C20" s="35">
        <f>B20*12</f>
        <v>0</v>
      </c>
      <c r="D20" s="35">
        <f>'тариф 01.10.21'!C6*3+тариф!C8*9</f>
        <v>694.91379456000004</v>
      </c>
      <c r="E20" s="35">
        <v>45966</v>
      </c>
      <c r="F20" s="15">
        <f t="shared" si="1"/>
        <v>-45271.086205439999</v>
      </c>
      <c r="G20" s="22"/>
      <c r="H20" s="1" t="s">
        <v>139</v>
      </c>
    </row>
    <row r="21" spans="1:10" ht="15.75" hidden="1" x14ac:dyDescent="0.25">
      <c r="A21" s="37" t="s">
        <v>36</v>
      </c>
      <c r="B21" s="35"/>
      <c r="C21" s="35"/>
      <c r="D21" s="35"/>
      <c r="E21" s="35">
        <v>0</v>
      </c>
      <c r="F21" s="15"/>
      <c r="G21" s="22">
        <f>H24</f>
        <v>576.28462962000003</v>
      </c>
      <c r="H21" s="1">
        <v>20387</v>
      </c>
    </row>
    <row r="22" spans="1:10" ht="15.75" hidden="1" x14ac:dyDescent="0.25">
      <c r="A22" s="37" t="s">
        <v>37</v>
      </c>
      <c r="B22" s="35"/>
      <c r="C22" s="35"/>
      <c r="D22" s="35"/>
      <c r="E22" s="35">
        <v>0</v>
      </c>
      <c r="F22" s="15"/>
      <c r="G22" s="22">
        <f>G21*0.302</f>
        <v>174.03795814524</v>
      </c>
      <c r="H22" s="86">
        <f>('ТХ МКД'!B7+'ТХ МКД'!B28*0.5)*0.00888/1000</f>
        <v>2.8267260000000002E-2</v>
      </c>
    </row>
    <row r="23" spans="1:10" ht="15.75" hidden="1" x14ac:dyDescent="0.25">
      <c r="A23" s="37" t="s">
        <v>38</v>
      </c>
      <c r="B23" s="35"/>
      <c r="C23" s="35"/>
      <c r="D23" s="35"/>
      <c r="E23" s="35">
        <v>0</v>
      </c>
      <c r="F23" s="15"/>
      <c r="G23" s="22"/>
      <c r="H23" s="86">
        <f>H22*0.1192</f>
        <v>3.3694573920000003E-3</v>
      </c>
      <c r="I23" s="2"/>
    </row>
    <row r="24" spans="1:10" ht="15.75" hidden="1" x14ac:dyDescent="0.25">
      <c r="A24" s="37" t="s">
        <v>0</v>
      </c>
      <c r="B24" s="35"/>
      <c r="C24" s="35"/>
      <c r="D24" s="35"/>
      <c r="E24" s="35">
        <v>0</v>
      </c>
      <c r="F24" s="15"/>
      <c r="G24" s="22"/>
      <c r="H24" s="103">
        <f>H21*H22</f>
        <v>576.28462962000003</v>
      </c>
    </row>
    <row r="25" spans="1:10" ht="15.75" x14ac:dyDescent="0.25">
      <c r="A25" s="31" t="s">
        <v>6</v>
      </c>
      <c r="B25" s="35"/>
      <c r="C25" s="35">
        <f>B25*12</f>
        <v>0</v>
      </c>
      <c r="D25" s="35">
        <f>'тариф 01.10.21'!C7*3+тариф!C9*9</f>
        <v>1971.1921574399998</v>
      </c>
      <c r="E25" s="35">
        <f>SUM(E26:E29)</f>
        <v>0</v>
      </c>
      <c r="F25" s="15">
        <f t="shared" si="1"/>
        <v>1971.1921574399998</v>
      </c>
      <c r="G25" s="22"/>
      <c r="H25" s="1" t="s">
        <v>140</v>
      </c>
    </row>
    <row r="26" spans="1:10" ht="15.75" hidden="1" x14ac:dyDescent="0.25">
      <c r="A26" s="37" t="s">
        <v>36</v>
      </c>
      <c r="B26" s="35"/>
      <c r="C26" s="35"/>
      <c r="D26" s="35"/>
      <c r="E26" s="35">
        <v>0</v>
      </c>
      <c r="F26" s="15"/>
      <c r="G26" s="22">
        <f>H28</f>
        <v>104.97615018</v>
      </c>
      <c r="H26" s="1">
        <v>12822</v>
      </c>
    </row>
    <row r="27" spans="1:10" ht="15.75" hidden="1" x14ac:dyDescent="0.25">
      <c r="A27" s="37" t="s">
        <v>37</v>
      </c>
      <c r="B27" s="35"/>
      <c r="C27" s="35"/>
      <c r="D27" s="35"/>
      <c r="E27" s="35">
        <v>0</v>
      </c>
      <c r="F27" s="15"/>
      <c r="G27" s="22">
        <f>G26*0.302</f>
        <v>31.702797354360001</v>
      </c>
      <c r="H27" s="86">
        <f>'ТХ МКД'!B27*0.0263/1000</f>
        <v>8.1871900000000004E-3</v>
      </c>
    </row>
    <row r="28" spans="1:10" ht="15.75" hidden="1" x14ac:dyDescent="0.25">
      <c r="A28" s="37" t="s">
        <v>38</v>
      </c>
      <c r="B28" s="35"/>
      <c r="C28" s="35"/>
      <c r="D28" s="35"/>
      <c r="E28" s="35">
        <v>0</v>
      </c>
      <c r="F28" s="15"/>
      <c r="G28" s="22"/>
      <c r="H28" s="103">
        <f>H26*H27</f>
        <v>104.97615018</v>
      </c>
      <c r="I28" s="2"/>
    </row>
    <row r="29" spans="1:10" ht="15.75" hidden="1" x14ac:dyDescent="0.25">
      <c r="A29" s="37" t="s">
        <v>0</v>
      </c>
      <c r="B29" s="35"/>
      <c r="C29" s="35"/>
      <c r="D29" s="35"/>
      <c r="E29" s="35">
        <v>0</v>
      </c>
      <c r="F29" s="15"/>
      <c r="G29" s="22"/>
    </row>
    <row r="30" spans="1:10" ht="31.5" x14ac:dyDescent="0.25">
      <c r="A30" s="31" t="s">
        <v>7</v>
      </c>
      <c r="B30" s="35"/>
      <c r="C30" s="35">
        <f>B30*12</f>
        <v>0</v>
      </c>
      <c r="D30" s="35">
        <f>'тариф 01.10.21'!C8*3+тариф!C10*9</f>
        <v>3262.39621248</v>
      </c>
      <c r="E30" s="35">
        <v>91832</v>
      </c>
      <c r="F30" s="15">
        <f t="shared" si="1"/>
        <v>-88569.603787519998</v>
      </c>
      <c r="G30" s="22"/>
      <c r="H30" s="1" t="s">
        <v>141</v>
      </c>
    </row>
    <row r="31" spans="1:10" ht="15.75" hidden="1" x14ac:dyDescent="0.25">
      <c r="A31" s="37" t="s">
        <v>36</v>
      </c>
      <c r="B31" s="35"/>
      <c r="C31" s="35"/>
      <c r="D31" s="35"/>
      <c r="E31" s="35"/>
      <c r="F31" s="15"/>
      <c r="G31" s="22">
        <f>H34</f>
        <v>475.99159860000003</v>
      </c>
      <c r="H31" s="1">
        <v>20387</v>
      </c>
    </row>
    <row r="32" spans="1:10" ht="15.75" hidden="1" x14ac:dyDescent="0.25">
      <c r="A32" s="37" t="s">
        <v>37</v>
      </c>
      <c r="B32" s="35"/>
      <c r="C32" s="35"/>
      <c r="D32" s="35"/>
      <c r="E32" s="35"/>
      <c r="F32" s="15"/>
      <c r="G32" s="22">
        <f>G31*0.302</f>
        <v>143.74946277719999</v>
      </c>
      <c r="H32" s="86">
        <f>'ТХ МКД'!B21/1000*0.0763</f>
        <v>2.3347800000000002E-2</v>
      </c>
    </row>
    <row r="33" spans="1:9" ht="15.75" hidden="1" customHeight="1" x14ac:dyDescent="0.25">
      <c r="A33" s="37" t="s">
        <v>83</v>
      </c>
      <c r="B33" s="35"/>
      <c r="C33" s="35"/>
      <c r="D33" s="35"/>
      <c r="E33" s="35"/>
      <c r="F33" s="15"/>
      <c r="G33" s="22"/>
      <c r="H33" s="86">
        <f>H32*0.1546</f>
        <v>3.6095698799999999E-3</v>
      </c>
      <c r="I33" s="2"/>
    </row>
    <row r="34" spans="1:9" ht="15.75" hidden="1" x14ac:dyDescent="0.25">
      <c r="A34" s="37" t="s">
        <v>0</v>
      </c>
      <c r="B34" s="35"/>
      <c r="C34" s="35"/>
      <c r="D34" s="35"/>
      <c r="E34" s="35"/>
      <c r="F34" s="15"/>
      <c r="G34" s="22"/>
      <c r="H34" s="103">
        <f>H31*H32</f>
        <v>475.99159860000003</v>
      </c>
    </row>
    <row r="35" spans="1:9" ht="31.5" x14ac:dyDescent="0.25">
      <c r="A35" s="29" t="s">
        <v>8</v>
      </c>
      <c r="B35" s="15"/>
      <c r="C35" s="15">
        <f t="shared" ref="C35:D35" si="2">C36+C41+C46+C51+C56+C58+C60+C62</f>
        <v>0</v>
      </c>
      <c r="D35" s="15">
        <f t="shared" si="2"/>
        <v>133774.03951296001</v>
      </c>
      <c r="E35" s="15">
        <f>E36+E41+E46+E51+E56+E58+E60+E62</f>
        <v>271353</v>
      </c>
      <c r="F35" s="15">
        <f t="shared" si="1"/>
        <v>-137578.96048703999</v>
      </c>
      <c r="G35" s="23"/>
      <c r="H35" s="105"/>
    </row>
    <row r="36" spans="1:9" ht="31.5" customHeight="1" x14ac:dyDescent="0.25">
      <c r="A36" s="31" t="s">
        <v>9</v>
      </c>
      <c r="B36" s="35"/>
      <c r="C36" s="35">
        <f>B36*12</f>
        <v>0</v>
      </c>
      <c r="D36" s="35">
        <f>'тариф 01.10.21'!C10*3+тариф!C13*9</f>
        <v>27148.373552640001</v>
      </c>
      <c r="E36" s="35">
        <v>49707</v>
      </c>
      <c r="F36" s="15">
        <f t="shared" si="1"/>
        <v>-22558.626447359999</v>
      </c>
      <c r="G36" s="22"/>
      <c r="H36" s="106" t="s">
        <v>142</v>
      </c>
      <c r="I36" s="1" t="s">
        <v>143</v>
      </c>
    </row>
    <row r="37" spans="1:9" ht="15.75" hidden="1" x14ac:dyDescent="0.25">
      <c r="A37" s="37" t="s">
        <v>36</v>
      </c>
      <c r="B37" s="35"/>
      <c r="C37" s="35"/>
      <c r="D37" s="35"/>
      <c r="E37" s="35">
        <v>0</v>
      </c>
      <c r="F37" s="15"/>
      <c r="G37" s="22">
        <f>H40+I40</f>
        <v>3796.4880610507694</v>
      </c>
      <c r="H37" s="1">
        <v>23336</v>
      </c>
      <c r="I37" s="1">
        <v>23336</v>
      </c>
    </row>
    <row r="38" spans="1:9" ht="15.75" hidden="1" x14ac:dyDescent="0.25">
      <c r="A38" s="37" t="s">
        <v>37</v>
      </c>
      <c r="B38" s="35"/>
      <c r="C38" s="35"/>
      <c r="D38" s="35"/>
      <c r="E38" s="35">
        <v>0</v>
      </c>
      <c r="F38" s="15"/>
      <c r="G38" s="22">
        <f>G37*0.302</f>
        <v>1146.5393944373322</v>
      </c>
      <c r="H38" s="86">
        <f>'ТХ МКД'!B14/325</f>
        <v>0.11076923076923077</v>
      </c>
      <c r="I38" s="86">
        <f>('ТХ МКД'!B7+'ТХ МКД'!B28*0.5)*0.01631/1000</f>
        <v>5.1918807500000004E-2</v>
      </c>
    </row>
    <row r="39" spans="1:9" ht="15.75" hidden="1" x14ac:dyDescent="0.25">
      <c r="A39" s="37" t="s">
        <v>38</v>
      </c>
      <c r="B39" s="35"/>
      <c r="C39" s="35"/>
      <c r="D39" s="35"/>
      <c r="E39" s="35">
        <v>0</v>
      </c>
      <c r="F39" s="15"/>
      <c r="G39" s="22"/>
      <c r="H39" s="86">
        <f>H38*0.312746</f>
        <v>3.4642633846153847E-2</v>
      </c>
      <c r="I39" s="19">
        <f>I38*0.1819</f>
        <v>9.4440310842500014E-3</v>
      </c>
    </row>
    <row r="40" spans="1:9" ht="15.75" hidden="1" x14ac:dyDescent="0.25">
      <c r="A40" s="37" t="s">
        <v>0</v>
      </c>
      <c r="B40" s="35"/>
      <c r="C40" s="35"/>
      <c r="D40" s="35"/>
      <c r="E40" s="35">
        <v>0</v>
      </c>
      <c r="F40" s="15"/>
      <c r="G40" s="22"/>
      <c r="H40" s="103">
        <f>H37*H38</f>
        <v>2584.9107692307693</v>
      </c>
      <c r="I40" s="103">
        <f>I37*I38</f>
        <v>1211.57729182</v>
      </c>
    </row>
    <row r="41" spans="1:9" ht="15.75" x14ac:dyDescent="0.25">
      <c r="A41" s="31" t="s">
        <v>10</v>
      </c>
      <c r="B41" s="35"/>
      <c r="C41" s="35">
        <f>B41*12</f>
        <v>0</v>
      </c>
      <c r="D41" s="35">
        <f>'тариф 01.10.21'!C11*3+тариф!C14*9</f>
        <v>4302.5977228800002</v>
      </c>
      <c r="E41" s="35">
        <v>29880</v>
      </c>
      <c r="F41" s="15">
        <f t="shared" si="1"/>
        <v>-25577.40227712</v>
      </c>
      <c r="G41" s="22"/>
      <c r="H41" s="1" t="s">
        <v>142</v>
      </c>
      <c r="I41" s="1" t="s">
        <v>143</v>
      </c>
    </row>
    <row r="42" spans="1:9" ht="15.75" hidden="1" x14ac:dyDescent="0.25">
      <c r="A42" s="37" t="s">
        <v>36</v>
      </c>
      <c r="B42" s="35"/>
      <c r="C42" s="35"/>
      <c r="D42" s="35"/>
      <c r="E42" s="35">
        <v>0</v>
      </c>
      <c r="F42" s="15"/>
      <c r="G42" s="22">
        <f>H45</f>
        <v>1904.726205128205</v>
      </c>
      <c r="H42" s="1">
        <v>23336</v>
      </c>
    </row>
    <row r="43" spans="1:9" ht="15.75" hidden="1" x14ac:dyDescent="0.25">
      <c r="A43" s="37" t="s">
        <v>37</v>
      </c>
      <c r="B43" s="35"/>
      <c r="C43" s="35"/>
      <c r="D43" s="35"/>
      <c r="E43" s="35">
        <v>0</v>
      </c>
      <c r="F43" s="15"/>
      <c r="G43" s="22">
        <f>G42*0.302</f>
        <v>575.22731394871789</v>
      </c>
      <c r="H43" s="86">
        <f>('ТХ МКД'!B7+'ТХ МКД'!B28*0.5)/39000</f>
        <v>8.162179487179487E-2</v>
      </c>
    </row>
    <row r="44" spans="1:9" ht="15.75" hidden="1" x14ac:dyDescent="0.25">
      <c r="A44" s="37" t="s">
        <v>38</v>
      </c>
      <c r="B44" s="35"/>
      <c r="C44" s="35"/>
      <c r="D44" s="35"/>
      <c r="E44" s="35">
        <v>0</v>
      </c>
      <c r="F44" s="15"/>
      <c r="G44" s="22"/>
      <c r="H44" s="86">
        <f>H43*0.3127</f>
        <v>2.5523135256410253E-2</v>
      </c>
    </row>
    <row r="45" spans="1:9" ht="15.75" hidden="1" x14ac:dyDescent="0.25">
      <c r="A45" s="37" t="s">
        <v>0</v>
      </c>
      <c r="B45" s="35"/>
      <c r="C45" s="35"/>
      <c r="D45" s="35"/>
      <c r="E45" s="35">
        <v>0</v>
      </c>
      <c r="F45" s="15"/>
      <c r="G45" s="22"/>
      <c r="H45" s="103">
        <f>H42*H43</f>
        <v>1904.726205128205</v>
      </c>
    </row>
    <row r="46" spans="1:9" ht="15.75" x14ac:dyDescent="0.25">
      <c r="A46" s="31" t="s">
        <v>11</v>
      </c>
      <c r="B46" s="35"/>
      <c r="C46" s="35">
        <f>B46*12</f>
        <v>0</v>
      </c>
      <c r="D46" s="35">
        <f>'тариф 01.10.21'!C12*3+тариф!C15*9</f>
        <v>6900.7000761600011</v>
      </c>
      <c r="E46" s="35">
        <v>2664</v>
      </c>
      <c r="F46" s="15">
        <f t="shared" si="1"/>
        <v>4236.7000761600011</v>
      </c>
      <c r="G46" s="22"/>
      <c r="H46" s="1" t="s">
        <v>144</v>
      </c>
    </row>
    <row r="47" spans="1:9" ht="15.75" hidden="1" x14ac:dyDescent="0.25">
      <c r="A47" s="37" t="s">
        <v>36</v>
      </c>
      <c r="B47" s="35"/>
      <c r="C47" s="35"/>
      <c r="D47" s="35"/>
      <c r="E47" s="35">
        <v>0</v>
      </c>
      <c r="F47" s="15"/>
      <c r="G47" s="22">
        <f>H49</f>
        <v>354.91200000000003</v>
      </c>
      <c r="H47" s="1">
        <v>22182</v>
      </c>
    </row>
    <row r="48" spans="1:9" ht="15.75" hidden="1" x14ac:dyDescent="0.25">
      <c r="A48" s="37" t="s">
        <v>37</v>
      </c>
      <c r="B48" s="35"/>
      <c r="C48" s="35"/>
      <c r="D48" s="35"/>
      <c r="E48" s="35">
        <v>0</v>
      </c>
      <c r="F48" s="15"/>
      <c r="G48" s="22">
        <f>G47*0.302</f>
        <v>107.183424</v>
      </c>
      <c r="H48" s="86">
        <f>'ТХ МКД'!B16/2250</f>
        <v>1.6E-2</v>
      </c>
    </row>
    <row r="49" spans="1:8" ht="15.75" hidden="1" x14ac:dyDescent="0.25">
      <c r="A49" s="37" t="s">
        <v>38</v>
      </c>
      <c r="B49" s="35"/>
      <c r="C49" s="35"/>
      <c r="D49" s="35"/>
      <c r="E49" s="35">
        <v>0</v>
      </c>
      <c r="F49" s="15"/>
      <c r="G49" s="22"/>
      <c r="H49" s="103">
        <f>H47*H48</f>
        <v>354.91200000000003</v>
      </c>
    </row>
    <row r="50" spans="1:8" ht="15.75" hidden="1" x14ac:dyDescent="0.25">
      <c r="A50" s="37" t="s">
        <v>0</v>
      </c>
      <c r="B50" s="35"/>
      <c r="C50" s="35"/>
      <c r="D50" s="35"/>
      <c r="E50" s="35">
        <v>0</v>
      </c>
      <c r="F50" s="15"/>
      <c r="G50" s="22"/>
      <c r="H50" s="144"/>
    </row>
    <row r="51" spans="1:8" ht="16.5" customHeight="1" x14ac:dyDescent="0.25">
      <c r="A51" s="32" t="s">
        <v>12</v>
      </c>
      <c r="B51" s="35"/>
      <c r="C51" s="35">
        <f>B51*12</f>
        <v>0</v>
      </c>
      <c r="D51" s="35">
        <f>'тариф 01.10.21'!C13*3+тариф!C16*9</f>
        <v>2047.1949119999999</v>
      </c>
      <c r="E51" s="35">
        <f>SUM(E52:E55)</f>
        <v>0</v>
      </c>
      <c r="F51" s="15">
        <f t="shared" si="1"/>
        <v>2047.1949119999999</v>
      </c>
      <c r="G51" s="22"/>
      <c r="H51" s="1" t="s">
        <v>145</v>
      </c>
    </row>
    <row r="52" spans="1:8" ht="15.75" hidden="1" x14ac:dyDescent="0.25">
      <c r="A52" s="37" t="s">
        <v>74</v>
      </c>
      <c r="B52" s="35"/>
      <c r="C52" s="35"/>
      <c r="D52" s="35"/>
      <c r="E52" s="35"/>
      <c r="F52" s="15"/>
      <c r="G52" s="22">
        <f>H55</f>
        <v>638.84159999999997</v>
      </c>
      <c r="H52" s="1">
        <v>22182</v>
      </c>
    </row>
    <row r="53" spans="1:8" ht="15.75" hidden="1" x14ac:dyDescent="0.25">
      <c r="A53" s="37" t="s">
        <v>37</v>
      </c>
      <c r="B53" s="35"/>
      <c r="C53" s="35"/>
      <c r="D53" s="35"/>
      <c r="E53" s="35"/>
      <c r="F53" s="15"/>
      <c r="G53" s="22">
        <f>G52*0.302</f>
        <v>192.93016319999998</v>
      </c>
      <c r="H53" s="1">
        <f>'ТХ МКД'!B12/1250</f>
        <v>2.8799999999999999E-2</v>
      </c>
    </row>
    <row r="54" spans="1:8" ht="15.75" hidden="1" x14ac:dyDescent="0.25">
      <c r="A54" s="37" t="s">
        <v>38</v>
      </c>
      <c r="B54" s="35"/>
      <c r="C54" s="35"/>
      <c r="D54" s="35"/>
      <c r="E54" s="35"/>
      <c r="F54" s="15"/>
      <c r="G54" s="22"/>
      <c r="H54" s="86">
        <f>H53*0.3075</f>
        <v>8.8559999999999993E-3</v>
      </c>
    </row>
    <row r="55" spans="1:8" ht="15.75" hidden="1" x14ac:dyDescent="0.25">
      <c r="A55" s="37" t="s">
        <v>0</v>
      </c>
      <c r="B55" s="35"/>
      <c r="C55" s="35"/>
      <c r="D55" s="35"/>
      <c r="E55" s="35"/>
      <c r="F55" s="15"/>
      <c r="G55" s="22"/>
      <c r="H55" s="103">
        <f>H52*H53</f>
        <v>638.84159999999997</v>
      </c>
    </row>
    <row r="56" spans="1:8" ht="31.5" x14ac:dyDescent="0.25">
      <c r="A56" s="31" t="s">
        <v>13</v>
      </c>
      <c r="B56" s="35"/>
      <c r="C56" s="35">
        <f t="shared" ref="C56:C71" si="3">B56*12</f>
        <v>0</v>
      </c>
      <c r="D56" s="35">
        <f>D57</f>
        <v>76438.506239999988</v>
      </c>
      <c r="E56" s="35">
        <f>E57</f>
        <v>174567</v>
      </c>
      <c r="F56" s="15">
        <f>D56-E56</f>
        <v>-98128.493760000012</v>
      </c>
      <c r="G56" s="22"/>
    </row>
    <row r="57" spans="1:8" ht="15.75" x14ac:dyDescent="0.25">
      <c r="A57" s="38" t="s">
        <v>84</v>
      </c>
      <c r="B57" s="35"/>
      <c r="C57" s="35">
        <f>B57*12</f>
        <v>0</v>
      </c>
      <c r="D57" s="35">
        <f>'тариф 01.10.21'!C14*3+тариф!C17*9</f>
        <v>76438.506239999988</v>
      </c>
      <c r="E57" s="35">
        <f>103767+70800</f>
        <v>174567</v>
      </c>
      <c r="F57" s="15"/>
      <c r="G57" s="22"/>
    </row>
    <row r="58" spans="1:8" ht="31.5" x14ac:dyDescent="0.25">
      <c r="A58" s="31" t="s">
        <v>169</v>
      </c>
      <c r="B58" s="35"/>
      <c r="C58" s="35">
        <f t="shared" si="3"/>
        <v>0</v>
      </c>
      <c r="D58" s="35">
        <f>D59</f>
        <v>10276.078080000001</v>
      </c>
      <c r="E58" s="35">
        <f>E59</f>
        <v>14535</v>
      </c>
      <c r="F58" s="15">
        <f t="shared" si="1"/>
        <v>-4258.9219199999989</v>
      </c>
      <c r="G58" s="22"/>
    </row>
    <row r="59" spans="1:8" ht="19.5" customHeight="1" x14ac:dyDescent="0.25">
      <c r="A59" s="38" t="s">
        <v>189</v>
      </c>
      <c r="B59" s="35"/>
      <c r="C59" s="35"/>
      <c r="D59" s="35">
        <f>'тариф 01.10.21'!C15*3</f>
        <v>10276.078080000001</v>
      </c>
      <c r="E59" s="35">
        <v>14535</v>
      </c>
      <c r="F59" s="15"/>
      <c r="G59" s="22"/>
    </row>
    <row r="60" spans="1:8" ht="31.5" x14ac:dyDescent="0.25">
      <c r="A60" s="31" t="s">
        <v>170</v>
      </c>
      <c r="B60" s="35"/>
      <c r="C60" s="35">
        <f t="shared" si="3"/>
        <v>0</v>
      </c>
      <c r="D60" s="35">
        <f>D61</f>
        <v>0</v>
      </c>
      <c r="E60" s="35"/>
      <c r="F60" s="15">
        <f t="shared" si="1"/>
        <v>0</v>
      </c>
      <c r="G60" s="22"/>
    </row>
    <row r="61" spans="1:8" ht="15.75" hidden="1" x14ac:dyDescent="0.25">
      <c r="A61" s="38" t="s">
        <v>189</v>
      </c>
      <c r="B61" s="35"/>
      <c r="C61" s="35">
        <f t="shared" si="3"/>
        <v>0</v>
      </c>
      <c r="D61" s="35"/>
      <c r="E61" s="35"/>
      <c r="F61" s="15">
        <f t="shared" si="1"/>
        <v>0</v>
      </c>
      <c r="G61" s="22"/>
    </row>
    <row r="62" spans="1:8" ht="15" customHeight="1" x14ac:dyDescent="0.25">
      <c r="A62" s="32" t="s">
        <v>16</v>
      </c>
      <c r="B62" s="35"/>
      <c r="C62" s="35">
        <f t="shared" si="3"/>
        <v>0</v>
      </c>
      <c r="D62" s="35">
        <f>D63</f>
        <v>6660.5889292800002</v>
      </c>
      <c r="E62" s="35">
        <f>E63</f>
        <v>0</v>
      </c>
      <c r="F62" s="15">
        <f t="shared" si="1"/>
        <v>6660.5889292800002</v>
      </c>
      <c r="G62" s="22"/>
    </row>
    <row r="63" spans="1:8" ht="17.25" hidden="1" customHeight="1" x14ac:dyDescent="0.25">
      <c r="A63" s="39" t="s">
        <v>189</v>
      </c>
      <c r="B63" s="35"/>
      <c r="C63" s="35"/>
      <c r="D63" s="35">
        <f>'тариф 01.10.21'!C17*3+тариф!C20*9</f>
        <v>6660.5889292800002</v>
      </c>
      <c r="E63" s="35"/>
      <c r="F63" s="15"/>
      <c r="G63" s="22"/>
    </row>
    <row r="64" spans="1:8" ht="31.5" x14ac:dyDescent="0.25">
      <c r="A64" s="29" t="s">
        <v>17</v>
      </c>
      <c r="B64" s="16"/>
      <c r="C64" s="16">
        <f t="shared" ref="C64:E64" si="4">C65+C66+C71+C72+C77+C79</f>
        <v>0</v>
      </c>
      <c r="D64" s="16">
        <f t="shared" si="4"/>
        <v>128978.33609088001</v>
      </c>
      <c r="E64" s="16">
        <f>E65+E66+E71+E72+E77+E79</f>
        <v>73738.570000000007</v>
      </c>
      <c r="F64" s="15">
        <f t="shared" si="1"/>
        <v>55239.766090880003</v>
      </c>
      <c r="G64" s="22"/>
      <c r="H64" s="27"/>
    </row>
    <row r="65" spans="1:8" ht="15.75" x14ac:dyDescent="0.25">
      <c r="A65" s="31" t="s">
        <v>18</v>
      </c>
      <c r="B65" s="47"/>
      <c r="C65" s="35">
        <f t="shared" si="3"/>
        <v>0</v>
      </c>
      <c r="D65" s="35">
        <v>0</v>
      </c>
      <c r="E65" s="35">
        <v>0</v>
      </c>
      <c r="F65" s="15">
        <f t="shared" si="1"/>
        <v>0</v>
      </c>
      <c r="G65" s="22"/>
    </row>
    <row r="66" spans="1:8" ht="16.5" customHeight="1" x14ac:dyDescent="0.25">
      <c r="A66" s="31" t="s">
        <v>19</v>
      </c>
      <c r="B66" s="35"/>
      <c r="C66" s="35">
        <f>B66*12</f>
        <v>0</v>
      </c>
      <c r="D66" s="35">
        <f>'тариф 01.10.21'!C22*3+тариф!C23*9</f>
        <v>38373.846802560001</v>
      </c>
      <c r="E66" s="35">
        <v>38373.85</v>
      </c>
      <c r="F66" s="15">
        <f t="shared" si="1"/>
        <v>-3.1974399971659295E-3</v>
      </c>
      <c r="G66" s="22"/>
      <c r="H66" s="1" t="s">
        <v>146</v>
      </c>
    </row>
    <row r="67" spans="1:8" ht="15.75" hidden="1" x14ac:dyDescent="0.25">
      <c r="A67" s="37" t="s">
        <v>148</v>
      </c>
      <c r="B67" s="35"/>
      <c r="C67" s="35">
        <f t="shared" ref="C67:C69" si="5">B67*12</f>
        <v>0</v>
      </c>
      <c r="D67" s="35"/>
      <c r="E67" s="35"/>
      <c r="F67" s="15"/>
      <c r="G67" s="22">
        <f>H69</f>
        <v>2191.9514285714286</v>
      </c>
      <c r="H67" s="1">
        <v>12822</v>
      </c>
    </row>
    <row r="68" spans="1:8" ht="15.75" hidden="1" x14ac:dyDescent="0.25">
      <c r="A68" s="37" t="s">
        <v>37</v>
      </c>
      <c r="B68" s="35"/>
      <c r="C68" s="35">
        <f t="shared" si="5"/>
        <v>0</v>
      </c>
      <c r="D68" s="35"/>
      <c r="E68" s="35"/>
      <c r="F68" s="15"/>
      <c r="G68" s="22">
        <f>G67*0.302</f>
        <v>661.96933142857142</v>
      </c>
      <c r="H68" s="107">
        <f>'ТХ МКД'!B30/5250</f>
        <v>0.17095238095238094</v>
      </c>
    </row>
    <row r="69" spans="1:8" ht="15.75" hidden="1" x14ac:dyDescent="0.25">
      <c r="A69" s="37" t="s">
        <v>38</v>
      </c>
      <c r="B69" s="35"/>
      <c r="C69" s="35">
        <f t="shared" si="5"/>
        <v>0</v>
      </c>
      <c r="D69" s="35"/>
      <c r="E69" s="35"/>
      <c r="F69" s="15"/>
      <c r="G69" s="22"/>
      <c r="H69" s="103">
        <f>H67*H68</f>
        <v>2191.9514285714286</v>
      </c>
    </row>
    <row r="70" spans="1:8" ht="15.75" hidden="1" x14ac:dyDescent="0.25">
      <c r="A70" s="37" t="s">
        <v>0</v>
      </c>
      <c r="B70" s="35"/>
      <c r="C70" s="35"/>
      <c r="D70" s="35"/>
      <c r="E70" s="35"/>
      <c r="F70" s="15"/>
      <c r="G70" s="22"/>
    </row>
    <row r="71" spans="1:8" ht="15.75" x14ac:dyDescent="0.25">
      <c r="A71" s="31" t="s">
        <v>20</v>
      </c>
      <c r="B71" s="35"/>
      <c r="C71" s="35">
        <f t="shared" si="3"/>
        <v>0</v>
      </c>
      <c r="D71" s="35">
        <v>0</v>
      </c>
      <c r="E71" s="35">
        <v>0</v>
      </c>
      <c r="F71" s="15"/>
      <c r="G71" s="22"/>
    </row>
    <row r="72" spans="1:8" ht="15.75" x14ac:dyDescent="0.25">
      <c r="A72" s="31" t="s">
        <v>21</v>
      </c>
      <c r="B72" s="35"/>
      <c r="C72" s="35">
        <f>B72*12</f>
        <v>0</v>
      </c>
      <c r="D72" s="35">
        <f>'тариф 01.10.21'!C24*3+тариф!C25*9</f>
        <v>44135.374669440003</v>
      </c>
      <c r="E72" s="35">
        <f>SUM(E73:E76)</f>
        <v>0</v>
      </c>
      <c r="F72" s="15">
        <f t="shared" si="1"/>
        <v>44135.374669440003</v>
      </c>
      <c r="G72" s="22"/>
      <c r="H72" s="1" t="s">
        <v>147</v>
      </c>
    </row>
    <row r="73" spans="1:8" ht="15.75" hidden="1" x14ac:dyDescent="0.25">
      <c r="A73" s="37" t="s">
        <v>149</v>
      </c>
      <c r="B73" s="35"/>
      <c r="C73" s="35">
        <f t="shared" ref="C73:C75" si="6">B73*12</f>
        <v>0</v>
      </c>
      <c r="D73" s="35"/>
      <c r="E73" s="35"/>
      <c r="F73" s="15"/>
      <c r="G73" s="22">
        <f>H75</f>
        <v>2636.9773584905661</v>
      </c>
      <c r="H73" s="1">
        <v>12822</v>
      </c>
    </row>
    <row r="74" spans="1:8" ht="15.75" hidden="1" x14ac:dyDescent="0.25">
      <c r="A74" s="37" t="s">
        <v>37</v>
      </c>
      <c r="B74" s="35"/>
      <c r="C74" s="35">
        <f t="shared" si="6"/>
        <v>0</v>
      </c>
      <c r="D74" s="35"/>
      <c r="E74" s="35"/>
      <c r="F74" s="15"/>
      <c r="G74" s="22">
        <f>G73*0.302</f>
        <v>796.36716226415092</v>
      </c>
      <c r="H74" s="86">
        <f>'ТХ МКД'!B18/530</f>
        <v>0.20566037735849058</v>
      </c>
    </row>
    <row r="75" spans="1:8" ht="15.75" hidden="1" x14ac:dyDescent="0.25">
      <c r="A75" s="37" t="s">
        <v>38</v>
      </c>
      <c r="B75" s="35"/>
      <c r="C75" s="35">
        <f t="shared" si="6"/>
        <v>0</v>
      </c>
      <c r="D75" s="35"/>
      <c r="E75" s="35"/>
      <c r="F75" s="15"/>
      <c r="G75" s="22"/>
      <c r="H75" s="103">
        <f>H73*H74</f>
        <v>2636.9773584905661</v>
      </c>
    </row>
    <row r="76" spans="1:8" ht="15.75" hidden="1" x14ac:dyDescent="0.25">
      <c r="A76" s="37" t="s">
        <v>0</v>
      </c>
      <c r="B76" s="35"/>
      <c r="C76" s="35"/>
      <c r="D76" s="35"/>
      <c r="E76" s="35"/>
      <c r="F76" s="15"/>
      <c r="G76" s="22"/>
    </row>
    <row r="77" spans="1:8" ht="33.75" customHeight="1" x14ac:dyDescent="0.25">
      <c r="A77" s="31" t="s">
        <v>22</v>
      </c>
      <c r="B77" s="35"/>
      <c r="C77" s="35">
        <f t="shared" ref="C77:C85" si="7">B77*12</f>
        <v>0</v>
      </c>
      <c r="D77" s="35">
        <f>D78</f>
        <v>11104.394138880001</v>
      </c>
      <c r="E77" s="35">
        <f>E78</f>
        <v>0</v>
      </c>
      <c r="F77" s="15">
        <f t="shared" ref="F77:F120" si="8">D77-E77</f>
        <v>11104.394138880001</v>
      </c>
      <c r="G77" s="22"/>
    </row>
    <row r="78" spans="1:8" ht="33" hidden="1" customHeight="1" x14ac:dyDescent="0.25">
      <c r="A78" s="38" t="s">
        <v>40</v>
      </c>
      <c r="B78" s="35"/>
      <c r="C78" s="35">
        <f t="shared" si="7"/>
        <v>0</v>
      </c>
      <c r="D78" s="35">
        <f>'тариф 01.10.21'!C25*3+тариф!C26*9</f>
        <v>11104.394138880001</v>
      </c>
      <c r="E78" s="35"/>
      <c r="F78" s="15"/>
      <c r="G78" s="22"/>
    </row>
    <row r="79" spans="1:8" ht="18" customHeight="1" x14ac:dyDescent="0.25">
      <c r="A79" s="31" t="s">
        <v>23</v>
      </c>
      <c r="B79" s="35"/>
      <c r="C79" s="35">
        <f t="shared" si="7"/>
        <v>0</v>
      </c>
      <c r="D79" s="35">
        <f>'тариф 01.10.21'!C26*3+тариф!C27*9</f>
        <v>35364.720479999996</v>
      </c>
      <c r="E79" s="35">
        <v>35364.720000000001</v>
      </c>
      <c r="F79" s="15">
        <f t="shared" si="8"/>
        <v>4.7999999515013769E-4</v>
      </c>
      <c r="G79" s="22"/>
    </row>
    <row r="80" spans="1:8" ht="15.75" hidden="1" x14ac:dyDescent="0.25">
      <c r="A80" s="37" t="s">
        <v>36</v>
      </c>
      <c r="B80" s="35"/>
      <c r="C80" s="35"/>
      <c r="D80" s="35"/>
      <c r="E80" s="35"/>
      <c r="F80" s="15"/>
      <c r="G80" s="22"/>
    </row>
    <row r="81" spans="1:7" ht="15.75" hidden="1" x14ac:dyDescent="0.25">
      <c r="A81" s="37" t="s">
        <v>37</v>
      </c>
      <c r="B81" s="35"/>
      <c r="C81" s="35"/>
      <c r="D81" s="35"/>
      <c r="E81" s="35"/>
      <c r="F81" s="15"/>
      <c r="G81" s="22"/>
    </row>
    <row r="82" spans="1:7" ht="15.75" hidden="1" x14ac:dyDescent="0.25">
      <c r="A82" s="37" t="s">
        <v>38</v>
      </c>
      <c r="B82" s="35"/>
      <c r="C82" s="35"/>
      <c r="D82" s="35"/>
      <c r="E82" s="35"/>
      <c r="F82" s="15"/>
      <c r="G82" s="22"/>
    </row>
    <row r="83" spans="1:7" ht="15.75" hidden="1" x14ac:dyDescent="0.25">
      <c r="A83" s="37" t="s">
        <v>0</v>
      </c>
      <c r="B83" s="35"/>
      <c r="C83" s="35"/>
      <c r="D83" s="35"/>
      <c r="E83" s="35"/>
      <c r="F83" s="15"/>
      <c r="G83" s="22"/>
    </row>
    <row r="84" spans="1:7" ht="15.75" x14ac:dyDescent="0.25">
      <c r="A84" s="29" t="s">
        <v>24</v>
      </c>
      <c r="B84" s="15"/>
      <c r="C84" s="15">
        <f t="shared" si="7"/>
        <v>0</v>
      </c>
      <c r="D84" s="15">
        <f>'тариф 01.10.21'!C27*3+тариф!C28*9</f>
        <v>28060.58378112</v>
      </c>
      <c r="E84" s="15">
        <v>28060.58</v>
      </c>
      <c r="F84" s="15">
        <f t="shared" si="8"/>
        <v>3.7811199981661048E-3</v>
      </c>
      <c r="G84" s="22"/>
    </row>
    <row r="85" spans="1:7" ht="15.75" x14ac:dyDescent="0.25">
      <c r="A85" s="29" t="s">
        <v>25</v>
      </c>
      <c r="B85" s="15"/>
      <c r="C85" s="15">
        <f t="shared" si="7"/>
        <v>0</v>
      </c>
      <c r="D85" s="15">
        <f>'тариф 01.10.21'!C28*3+тариф!C29*9</f>
        <v>79767.704142720002</v>
      </c>
      <c r="E85" s="15">
        <v>79767.7</v>
      </c>
      <c r="F85" s="15">
        <f t="shared" si="8"/>
        <v>4.142720004892908E-3</v>
      </c>
      <c r="G85" s="22"/>
    </row>
    <row r="86" spans="1:7" ht="17.25" hidden="1" customHeight="1" x14ac:dyDescent="0.25">
      <c r="A86" s="69" t="s">
        <v>70</v>
      </c>
      <c r="B86" s="15"/>
      <c r="C86" s="15"/>
      <c r="D86" s="35"/>
      <c r="E86" s="15">
        <f>SUM(E87:E96)</f>
        <v>0</v>
      </c>
      <c r="F86" s="15"/>
      <c r="G86" s="22"/>
    </row>
    <row r="87" spans="1:7" ht="25.5" hidden="1" x14ac:dyDescent="0.25">
      <c r="A87" s="70" t="s">
        <v>85</v>
      </c>
      <c r="B87" s="15"/>
      <c r="C87" s="15"/>
      <c r="D87" s="35"/>
      <c r="E87" s="35"/>
      <c r="F87" s="15"/>
      <c r="G87" s="50"/>
    </row>
    <row r="88" spans="1:7" ht="15.75" hidden="1" x14ac:dyDescent="0.25">
      <c r="A88" s="70" t="s">
        <v>37</v>
      </c>
      <c r="B88" s="15"/>
      <c r="C88" s="15"/>
      <c r="D88" s="35"/>
      <c r="E88" s="35"/>
      <c r="F88" s="15"/>
      <c r="G88" s="50"/>
    </row>
    <row r="89" spans="1:7" ht="15.75" hidden="1" x14ac:dyDescent="0.25">
      <c r="A89" s="70" t="s">
        <v>50</v>
      </c>
      <c r="B89" s="15"/>
      <c r="C89" s="15"/>
      <c r="D89" s="35"/>
      <c r="E89" s="35"/>
      <c r="F89" s="15"/>
      <c r="G89" s="50"/>
    </row>
    <row r="90" spans="1:7" ht="15.75" hidden="1" x14ac:dyDescent="0.25">
      <c r="A90" s="70" t="s">
        <v>51</v>
      </c>
      <c r="B90" s="15"/>
      <c r="C90" s="15"/>
      <c r="D90" s="35"/>
      <c r="E90" s="35"/>
      <c r="F90" s="15"/>
      <c r="G90" s="50"/>
    </row>
    <row r="91" spans="1:7" ht="15.75" hidden="1" x14ac:dyDescent="0.25">
      <c r="A91" s="70" t="s">
        <v>76</v>
      </c>
      <c r="B91" s="15"/>
      <c r="C91" s="15"/>
      <c r="D91" s="35"/>
      <c r="E91" s="35"/>
      <c r="F91" s="15"/>
      <c r="G91" s="50"/>
    </row>
    <row r="92" spans="1:7" ht="15.75" hidden="1" x14ac:dyDescent="0.25">
      <c r="A92" s="70" t="s">
        <v>52</v>
      </c>
      <c r="B92" s="15"/>
      <c r="C92" s="15"/>
      <c r="D92" s="35"/>
      <c r="E92" s="35"/>
      <c r="F92" s="15"/>
      <c r="G92" s="50"/>
    </row>
    <row r="93" spans="1:7" ht="15.75" hidden="1" x14ac:dyDescent="0.25">
      <c r="A93" s="70" t="s">
        <v>77</v>
      </c>
      <c r="B93" s="15"/>
      <c r="C93" s="15"/>
      <c r="D93" s="35"/>
      <c r="E93" s="35"/>
      <c r="F93" s="15"/>
      <c r="G93" s="50"/>
    </row>
    <row r="94" spans="1:7" ht="15.75" hidden="1" x14ac:dyDescent="0.25">
      <c r="A94" s="70" t="s">
        <v>53</v>
      </c>
      <c r="B94" s="15"/>
      <c r="C94" s="15"/>
      <c r="D94" s="35"/>
      <c r="E94" s="35"/>
      <c r="F94" s="15"/>
      <c r="G94" s="50"/>
    </row>
    <row r="95" spans="1:7" ht="15.75" hidden="1" x14ac:dyDescent="0.25">
      <c r="A95" s="70" t="s">
        <v>54</v>
      </c>
      <c r="B95" s="15"/>
      <c r="C95" s="15"/>
      <c r="D95" s="35"/>
      <c r="E95" s="35"/>
      <c r="F95" s="15"/>
      <c r="G95" s="50"/>
    </row>
    <row r="96" spans="1:7" ht="15.75" hidden="1" x14ac:dyDescent="0.25">
      <c r="A96" s="70" t="s">
        <v>0</v>
      </c>
      <c r="B96" s="15"/>
      <c r="C96" s="15"/>
      <c r="D96" s="35"/>
      <c r="E96" s="35"/>
      <c r="F96" s="15"/>
      <c r="G96" s="50"/>
    </row>
    <row r="97" spans="1:7" ht="17.25" hidden="1" customHeight="1" x14ac:dyDescent="0.25">
      <c r="A97" s="69" t="s">
        <v>71</v>
      </c>
      <c r="B97" s="15"/>
      <c r="C97" s="15"/>
      <c r="D97" s="35"/>
      <c r="E97" s="15">
        <f>E98+E99+E100+E108+E112+E115+E116</f>
        <v>0</v>
      </c>
      <c r="F97" s="15"/>
      <c r="G97" s="22"/>
    </row>
    <row r="98" spans="1:7" ht="30" hidden="1" x14ac:dyDescent="0.25">
      <c r="A98" s="71" t="s">
        <v>86</v>
      </c>
      <c r="B98" s="15"/>
      <c r="C98" s="15"/>
      <c r="D98" s="35"/>
      <c r="E98" s="35"/>
      <c r="F98" s="15"/>
      <c r="G98" s="50"/>
    </row>
    <row r="99" spans="1:7" ht="15.75" hidden="1" x14ac:dyDescent="0.25">
      <c r="A99" s="71" t="s">
        <v>37</v>
      </c>
      <c r="B99" s="15"/>
      <c r="C99" s="15"/>
      <c r="D99" s="35"/>
      <c r="E99" s="35"/>
      <c r="F99" s="15"/>
      <c r="G99" s="50"/>
    </row>
    <row r="100" spans="1:7" ht="30" hidden="1" x14ac:dyDescent="0.25">
      <c r="A100" s="71" t="s">
        <v>55</v>
      </c>
      <c r="B100" s="15"/>
      <c r="C100" s="15"/>
      <c r="D100" s="35"/>
      <c r="E100" s="35"/>
      <c r="F100" s="15"/>
      <c r="G100" s="50"/>
    </row>
    <row r="101" spans="1:7" ht="15.75" hidden="1" x14ac:dyDescent="0.25">
      <c r="A101" s="72" t="s">
        <v>56</v>
      </c>
      <c r="B101" s="15"/>
      <c r="C101" s="15"/>
      <c r="D101" s="35"/>
      <c r="E101" s="35"/>
      <c r="F101" s="15"/>
      <c r="G101" s="50"/>
    </row>
    <row r="102" spans="1:7" ht="15.75" hidden="1" x14ac:dyDescent="0.25">
      <c r="A102" s="72" t="s">
        <v>57</v>
      </c>
      <c r="B102" s="15"/>
      <c r="C102" s="15"/>
      <c r="D102" s="35"/>
      <c r="E102" s="35"/>
      <c r="F102" s="15"/>
      <c r="G102" s="50"/>
    </row>
    <row r="103" spans="1:7" ht="15.75" hidden="1" x14ac:dyDescent="0.25">
      <c r="A103" s="72" t="s">
        <v>58</v>
      </c>
      <c r="B103" s="15"/>
      <c r="C103" s="15"/>
      <c r="D103" s="35"/>
      <c r="E103" s="35"/>
      <c r="F103" s="15"/>
      <c r="G103" s="50"/>
    </row>
    <row r="104" spans="1:7" ht="15.75" hidden="1" x14ac:dyDescent="0.25">
      <c r="A104" s="72" t="s">
        <v>59</v>
      </c>
      <c r="B104" s="15"/>
      <c r="C104" s="15"/>
      <c r="D104" s="35"/>
      <c r="E104" s="35"/>
      <c r="F104" s="15"/>
      <c r="G104" s="50"/>
    </row>
    <row r="105" spans="1:7" ht="15.75" hidden="1" x14ac:dyDescent="0.25">
      <c r="A105" s="72" t="s">
        <v>60</v>
      </c>
      <c r="B105" s="15"/>
      <c r="C105" s="15"/>
      <c r="D105" s="35"/>
      <c r="E105" s="35"/>
      <c r="F105" s="15"/>
      <c r="G105" s="50"/>
    </row>
    <row r="106" spans="1:7" ht="15.75" hidden="1" x14ac:dyDescent="0.25">
      <c r="A106" s="72" t="s">
        <v>61</v>
      </c>
      <c r="B106" s="15"/>
      <c r="C106" s="15"/>
      <c r="D106" s="35"/>
      <c r="E106" s="35"/>
      <c r="F106" s="15"/>
      <c r="G106" s="50"/>
    </row>
    <row r="107" spans="1:7" ht="15.75" hidden="1" x14ac:dyDescent="0.25">
      <c r="A107" s="72" t="s">
        <v>62</v>
      </c>
      <c r="B107" s="15"/>
      <c r="C107" s="15"/>
      <c r="D107" s="35"/>
      <c r="E107" s="35"/>
      <c r="F107" s="15"/>
      <c r="G107" s="50"/>
    </row>
    <row r="108" spans="1:7" ht="15.75" hidden="1" x14ac:dyDescent="0.25">
      <c r="A108" s="73" t="s">
        <v>63</v>
      </c>
      <c r="B108" s="15"/>
      <c r="C108" s="15"/>
      <c r="D108" s="35"/>
      <c r="E108" s="35"/>
      <c r="F108" s="15"/>
      <c r="G108" s="50"/>
    </row>
    <row r="109" spans="1:7" ht="15.75" hidden="1" x14ac:dyDescent="0.25">
      <c r="A109" s="72" t="s">
        <v>64</v>
      </c>
      <c r="B109" s="15"/>
      <c r="C109" s="15"/>
      <c r="D109" s="35"/>
      <c r="E109" s="35"/>
      <c r="F109" s="15"/>
      <c r="G109" s="50"/>
    </row>
    <row r="110" spans="1:7" ht="15.75" hidden="1" x14ac:dyDescent="0.25">
      <c r="A110" s="72" t="s">
        <v>65</v>
      </c>
      <c r="B110" s="15"/>
      <c r="C110" s="15"/>
      <c r="D110" s="35"/>
      <c r="E110" s="35"/>
      <c r="F110" s="15"/>
      <c r="G110" s="50"/>
    </row>
    <row r="111" spans="1:7" ht="15.75" hidden="1" x14ac:dyDescent="0.25">
      <c r="A111" s="72" t="s">
        <v>78</v>
      </c>
      <c r="B111" s="15"/>
      <c r="C111" s="15"/>
      <c r="D111" s="35"/>
      <c r="E111" s="35"/>
      <c r="F111" s="15"/>
      <c r="G111" s="50"/>
    </row>
    <row r="112" spans="1:7" ht="15.75" hidden="1" x14ac:dyDescent="0.25">
      <c r="A112" s="73" t="s">
        <v>66</v>
      </c>
      <c r="B112" s="15"/>
      <c r="C112" s="15"/>
      <c r="D112" s="35"/>
      <c r="E112" s="35"/>
      <c r="F112" s="15"/>
      <c r="G112" s="50"/>
    </row>
    <row r="113" spans="1:8" ht="15.75" hidden="1" x14ac:dyDescent="0.25">
      <c r="A113" s="72" t="s">
        <v>67</v>
      </c>
      <c r="B113" s="15"/>
      <c r="C113" s="15"/>
      <c r="D113" s="35"/>
      <c r="E113" s="35"/>
      <c r="F113" s="15"/>
      <c r="G113" s="50"/>
    </row>
    <row r="114" spans="1:8" ht="25.5" hidden="1" x14ac:dyDescent="0.25">
      <c r="A114" s="72" t="s">
        <v>79</v>
      </c>
      <c r="B114" s="15"/>
      <c r="C114" s="15"/>
      <c r="D114" s="35"/>
      <c r="E114" s="35"/>
      <c r="F114" s="15"/>
      <c r="G114" s="50"/>
    </row>
    <row r="115" spans="1:8" ht="15.75" hidden="1" x14ac:dyDescent="0.25">
      <c r="A115" s="73" t="s">
        <v>68</v>
      </c>
      <c r="B115" s="15"/>
      <c r="C115" s="15"/>
      <c r="D115" s="35"/>
      <c r="E115" s="35"/>
      <c r="F115" s="15"/>
      <c r="G115" s="50"/>
    </row>
    <row r="116" spans="1:8" ht="16.5" hidden="1" customHeight="1" x14ac:dyDescent="0.25">
      <c r="A116" s="73" t="s">
        <v>69</v>
      </c>
      <c r="B116" s="15"/>
      <c r="C116" s="15"/>
      <c r="D116" s="35"/>
      <c r="E116" s="35"/>
      <c r="F116" s="15"/>
      <c r="G116" s="50"/>
    </row>
    <row r="117" spans="1:8" ht="46.5" customHeight="1" x14ac:dyDescent="0.25">
      <c r="A117" s="143" t="s">
        <v>183</v>
      </c>
      <c r="B117" s="15"/>
      <c r="C117" s="15"/>
      <c r="D117" s="15">
        <f>D118+D119</f>
        <v>18027.091144348524</v>
      </c>
      <c r="E117" s="15">
        <f>E118+E119</f>
        <v>19839.2</v>
      </c>
      <c r="F117" s="15"/>
      <c r="G117" s="50"/>
    </row>
    <row r="118" spans="1:8" ht="16.5" customHeight="1" x14ac:dyDescent="0.25">
      <c r="A118" s="143" t="s">
        <v>184</v>
      </c>
      <c r="B118" s="15"/>
      <c r="C118" s="15"/>
      <c r="D118" s="35">
        <f>(тариф!C18+тариф!C19)*9</f>
        <v>18027.091144348524</v>
      </c>
      <c r="E118" s="35">
        <v>19839.2</v>
      </c>
      <c r="F118" s="15"/>
      <c r="G118" s="50"/>
    </row>
    <row r="119" spans="1:8" ht="16.5" customHeight="1" x14ac:dyDescent="0.25">
      <c r="A119" s="143" t="s">
        <v>185</v>
      </c>
      <c r="B119" s="15"/>
      <c r="C119" s="15"/>
      <c r="D119" s="35"/>
      <c r="E119" s="35"/>
      <c r="F119" s="15"/>
      <c r="G119" s="50"/>
    </row>
    <row r="120" spans="1:8" ht="18" customHeight="1" x14ac:dyDescent="0.25">
      <c r="A120" s="33" t="s">
        <v>35</v>
      </c>
      <c r="B120" s="17"/>
      <c r="C120" s="17">
        <f>C85+C84+C64+C35+C9</f>
        <v>0</v>
      </c>
      <c r="D120" s="17">
        <f>D85+D84+D64+D35+D9+D117</f>
        <v>403253.76608066855</v>
      </c>
      <c r="E120" s="17">
        <f>E85+E84+E64+E35+E9+E117</f>
        <v>610557.04999999993</v>
      </c>
      <c r="F120" s="15">
        <f t="shared" si="8"/>
        <v>-207303.28391933138</v>
      </c>
      <c r="G120" s="52"/>
      <c r="H120" s="17"/>
    </row>
    <row r="121" spans="1:8" ht="16.5" customHeight="1" x14ac:dyDescent="0.25">
      <c r="A121" s="29" t="s">
        <v>27</v>
      </c>
      <c r="B121" s="28"/>
      <c r="C121" s="28">
        <v>1994.6</v>
      </c>
      <c r="D121" s="28">
        <f>'ТХ МКД'!C8</f>
        <v>1995.2</v>
      </c>
      <c r="E121" s="28">
        <f>'ТХ МКД'!C8</f>
        <v>1995.2</v>
      </c>
      <c r="F121" s="54"/>
      <c r="G121" s="14"/>
    </row>
    <row r="122" spans="1:8" ht="31.5" x14ac:dyDescent="0.25">
      <c r="A122" s="149" t="s">
        <v>192</v>
      </c>
      <c r="B122" s="150"/>
      <c r="C122" s="150"/>
      <c r="D122" s="150"/>
      <c r="E122" s="151">
        <v>51915.97</v>
      </c>
      <c r="F122" s="43"/>
      <c r="G122" s="19"/>
    </row>
    <row r="123" spans="1:8" ht="16.5" customHeight="1" x14ac:dyDescent="0.25">
      <c r="A123" s="149" t="s">
        <v>193</v>
      </c>
      <c r="B123" s="150"/>
      <c r="C123" s="150"/>
      <c r="D123" s="150"/>
      <c r="E123" s="151">
        <v>384080.08</v>
      </c>
      <c r="F123" s="49"/>
      <c r="G123" s="19"/>
    </row>
    <row r="124" spans="1:8" ht="15.75" hidden="1" x14ac:dyDescent="0.25">
      <c r="A124" s="42"/>
      <c r="B124" s="49"/>
      <c r="C124" s="49"/>
      <c r="D124" s="49"/>
      <c r="E124" s="49"/>
      <c r="F124" s="49"/>
      <c r="G124" s="19"/>
    </row>
    <row r="125" spans="1:8" ht="18.75" hidden="1" x14ac:dyDescent="0.3">
      <c r="A125" s="45" t="s">
        <v>48</v>
      </c>
      <c r="B125" s="1" t="s">
        <v>32</v>
      </c>
      <c r="C125" s="46" t="s">
        <v>49</v>
      </c>
      <c r="D125" s="46"/>
      <c r="E125" s="46"/>
      <c r="F125" s="46"/>
      <c r="G125" s="1"/>
    </row>
    <row r="126" spans="1:8" ht="15.75" x14ac:dyDescent="0.25">
      <c r="A126" s="30"/>
      <c r="B126" s="48"/>
      <c r="C126" s="48"/>
      <c r="D126" s="48"/>
      <c r="E126" s="48"/>
      <c r="F126" s="48"/>
    </row>
    <row r="127" spans="1:8" ht="15.75" x14ac:dyDescent="0.25">
      <c r="A127" s="13" t="s">
        <v>31</v>
      </c>
      <c r="B127" s="44" t="s">
        <v>46</v>
      </c>
      <c r="C127" s="44" t="s">
        <v>33</v>
      </c>
      <c r="E127" s="44" t="s">
        <v>33</v>
      </c>
      <c r="F127" s="44"/>
    </row>
    <row r="128" spans="1:8" ht="15.75" x14ac:dyDescent="0.25">
      <c r="A128" s="30"/>
      <c r="B128" s="48"/>
      <c r="C128" s="48"/>
      <c r="D128" s="48">
        <f>'тариф 01.10.21'!C34+тариф!C34</f>
        <v>403253.7660806686</v>
      </c>
      <c r="E128" s="48"/>
      <c r="F128" s="48"/>
    </row>
  </sheetData>
  <mergeCells count="6">
    <mergeCell ref="A2:E2"/>
    <mergeCell ref="A3:E3"/>
    <mergeCell ref="A1:E1"/>
    <mergeCell ref="A5:A7"/>
    <mergeCell ref="B5:D5"/>
    <mergeCell ref="D4:E4"/>
  </mergeCells>
  <pageMargins left="0.7" right="0.7" top="0.75" bottom="0.75" header="0.3" footer="0.3"/>
  <pageSetup paperSize="9"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B34" sqref="B34"/>
    </sheetView>
  </sheetViews>
  <sheetFormatPr defaultRowHeight="15" x14ac:dyDescent="0.25"/>
  <cols>
    <col min="1" max="1" width="72.7109375" customWidth="1"/>
    <col min="2" max="4" width="19.140625" customWidth="1"/>
  </cols>
  <sheetData>
    <row r="1" spans="1:4" x14ac:dyDescent="0.25">
      <c r="A1" s="1"/>
      <c r="B1" s="1" t="s">
        <v>153</v>
      </c>
      <c r="C1" s="1"/>
      <c r="D1" s="1"/>
    </row>
    <row r="2" spans="1:4" ht="25.5" customHeight="1" x14ac:dyDescent="0.25">
      <c r="A2" s="109" t="s">
        <v>154</v>
      </c>
      <c r="B2" s="109" t="str">
        <f>'ТХ МКД'!B2</f>
        <v>РЕЧНАЯ, 4Б</v>
      </c>
      <c r="C2" s="110" t="s">
        <v>155</v>
      </c>
      <c r="D2" s="110" t="s">
        <v>156</v>
      </c>
    </row>
    <row r="3" spans="1:4" x14ac:dyDescent="0.25">
      <c r="A3" s="111" t="s">
        <v>157</v>
      </c>
      <c r="B3" s="112">
        <f>SUM(B4:B8)</f>
        <v>0.63877440000000008</v>
      </c>
      <c r="C3" s="113">
        <f>SUM(C4:C8)</f>
        <v>1274.4826828800001</v>
      </c>
      <c r="D3" s="113">
        <f t="shared" ref="D3" si="0">SUM(D4:D8)</f>
        <v>15293.792194560001</v>
      </c>
    </row>
    <row r="4" spans="1:4" ht="30" x14ac:dyDescent="0.25">
      <c r="A4" s="114" t="s">
        <v>158</v>
      </c>
      <c r="B4" s="115">
        <v>6.4803200000000005E-2</v>
      </c>
      <c r="C4" s="116">
        <f>B4*$B$33</f>
        <v>129.29534464000002</v>
      </c>
      <c r="D4" s="116">
        <f>C4*12</f>
        <v>1551.5441356800002</v>
      </c>
    </row>
    <row r="5" spans="1:4" x14ac:dyDescent="0.25">
      <c r="A5" s="114" t="s">
        <v>159</v>
      </c>
      <c r="B5" s="115">
        <v>0.31581040000000005</v>
      </c>
      <c r="C5" s="116">
        <f t="shared" ref="C5:C8" si="1">B5*$B$33</f>
        <v>630.10491008000008</v>
      </c>
      <c r="D5" s="116">
        <f t="shared" ref="D5:D8" si="2">C5*12</f>
        <v>7561.258920960001</v>
      </c>
    </row>
    <row r="6" spans="1:4" ht="30" x14ac:dyDescent="0.25">
      <c r="A6" s="114" t="s">
        <v>160</v>
      </c>
      <c r="B6" s="115">
        <v>3.0297600000000001E-2</v>
      </c>
      <c r="C6" s="116">
        <f t="shared" si="1"/>
        <v>60.449771520000006</v>
      </c>
      <c r="D6" s="116">
        <f t="shared" si="2"/>
        <v>725.39725824000004</v>
      </c>
    </row>
    <row r="7" spans="1:4" x14ac:dyDescent="0.25">
      <c r="A7" s="114" t="s">
        <v>161</v>
      </c>
      <c r="B7" s="115">
        <v>8.5422399999999996E-2</v>
      </c>
      <c r="C7" s="116">
        <f t="shared" si="1"/>
        <v>170.43477247999999</v>
      </c>
      <c r="D7" s="116">
        <f t="shared" si="2"/>
        <v>2045.2172697599999</v>
      </c>
    </row>
    <row r="8" spans="1:4" x14ac:dyDescent="0.25">
      <c r="A8" s="114" t="s">
        <v>162</v>
      </c>
      <c r="B8" s="115">
        <v>0.14244080000000001</v>
      </c>
      <c r="C8" s="116">
        <f t="shared" si="1"/>
        <v>284.19788416</v>
      </c>
      <c r="D8" s="116">
        <f t="shared" si="2"/>
        <v>3410.3746099199998</v>
      </c>
    </row>
    <row r="9" spans="1:4" x14ac:dyDescent="0.25">
      <c r="A9" s="111" t="s">
        <v>163</v>
      </c>
      <c r="B9" s="112">
        <f>SUM(B10:B19)</f>
        <v>7.3988116000000002</v>
      </c>
      <c r="C9" s="113">
        <f>SUM(C10:C19)</f>
        <v>14762.108904320001</v>
      </c>
      <c r="D9" s="113">
        <f t="shared" ref="D9" si="3">SUM(D10:D19)</f>
        <v>177145.30685184</v>
      </c>
    </row>
    <row r="10" spans="1:4" x14ac:dyDescent="0.25">
      <c r="A10" s="114" t="s">
        <v>164</v>
      </c>
      <c r="B10" s="115">
        <v>1.1858143999999999</v>
      </c>
      <c r="C10" s="116">
        <f>B10*$B$33</f>
        <v>2365.9368908799997</v>
      </c>
      <c r="D10" s="116">
        <f>C10*12</f>
        <v>28391.242690559997</v>
      </c>
    </row>
    <row r="11" spans="1:4" x14ac:dyDescent="0.25">
      <c r="A11" s="114" t="s">
        <v>165</v>
      </c>
      <c r="B11" s="115">
        <v>0.18662480000000001</v>
      </c>
      <c r="C11" s="116">
        <f t="shared" ref="C11:C17" si="4">B11*$B$33</f>
        <v>372.35380096</v>
      </c>
      <c r="D11" s="116">
        <f t="shared" ref="D11:D17" si="5">C11*12</f>
        <v>4468.2456115200002</v>
      </c>
    </row>
    <row r="12" spans="1:4" x14ac:dyDescent="0.25">
      <c r="A12" s="114" t="s">
        <v>166</v>
      </c>
      <c r="B12" s="115">
        <v>0.29908360000000001</v>
      </c>
      <c r="C12" s="116">
        <f t="shared" si="4"/>
        <v>596.73159872000008</v>
      </c>
      <c r="D12" s="116">
        <f t="shared" si="5"/>
        <v>7160.7791846400014</v>
      </c>
    </row>
    <row r="13" spans="1:4" x14ac:dyDescent="0.25">
      <c r="A13" s="114" t="s">
        <v>167</v>
      </c>
      <c r="B13" s="117">
        <v>8.9420000000000013E-2</v>
      </c>
      <c r="C13" s="116">
        <f t="shared" si="4"/>
        <v>178.41078400000004</v>
      </c>
      <c r="D13" s="116">
        <f t="shared" si="5"/>
        <v>2140.9294080000004</v>
      </c>
    </row>
    <row r="14" spans="1:4" ht="90" x14ac:dyDescent="0.25">
      <c r="A14" s="118" t="s">
        <v>168</v>
      </c>
      <c r="B14" s="117">
        <v>3.6324000000000001</v>
      </c>
      <c r="C14" s="116">
        <f t="shared" si="4"/>
        <v>7247.3644800000002</v>
      </c>
      <c r="D14" s="116">
        <f t="shared" si="5"/>
        <v>86968.373760000002</v>
      </c>
    </row>
    <row r="15" spans="1:4" x14ac:dyDescent="0.25">
      <c r="A15" s="119" t="s">
        <v>169</v>
      </c>
      <c r="B15" s="120">
        <v>1.7168000000000001</v>
      </c>
      <c r="C15" s="116">
        <f t="shared" si="4"/>
        <v>3425.3593600000004</v>
      </c>
      <c r="D15" s="116">
        <f t="shared" si="5"/>
        <v>41104.312320000005</v>
      </c>
    </row>
    <row r="16" spans="1:4" ht="17.25" customHeight="1" x14ac:dyDescent="0.25">
      <c r="A16" s="118" t="s">
        <v>170</v>
      </c>
      <c r="B16" s="120"/>
      <c r="C16" s="116"/>
      <c r="D16" s="116"/>
    </row>
    <row r="17" spans="1:4" ht="30" x14ac:dyDescent="0.25">
      <c r="A17" s="118" t="s">
        <v>171</v>
      </c>
      <c r="B17" s="121">
        <v>0.2886688</v>
      </c>
      <c r="C17" s="116">
        <f t="shared" si="4"/>
        <v>575.95198976000006</v>
      </c>
      <c r="D17" s="116">
        <f t="shared" si="5"/>
        <v>6911.4238771200007</v>
      </c>
    </row>
    <row r="18" spans="1:4" x14ac:dyDescent="0.25">
      <c r="A18" s="119" t="s">
        <v>172</v>
      </c>
      <c r="B18" s="120"/>
      <c r="C18" s="116"/>
      <c r="D18" s="116"/>
    </row>
    <row r="19" spans="1:4" x14ac:dyDescent="0.25">
      <c r="A19" s="114" t="s">
        <v>173</v>
      </c>
      <c r="B19" s="122"/>
      <c r="C19" s="116"/>
      <c r="D19" s="116"/>
    </row>
    <row r="20" spans="1:4" x14ac:dyDescent="0.25">
      <c r="A20" s="123" t="s">
        <v>174</v>
      </c>
      <c r="B20" s="124">
        <f>SUM(B21:B26)</f>
        <v>5.0934048000000001</v>
      </c>
      <c r="C20" s="125">
        <f>SUM(C21:C26)</f>
        <v>10162.361256960001</v>
      </c>
      <c r="D20" s="125">
        <f t="shared" ref="D20" si="6">SUM(D21:D26)</f>
        <v>121948.33508352001</v>
      </c>
    </row>
    <row r="21" spans="1:4" x14ac:dyDescent="0.25">
      <c r="A21" s="114" t="s">
        <v>175</v>
      </c>
      <c r="B21" s="110">
        <v>0</v>
      </c>
      <c r="C21" s="116">
        <f>B21*$B$33</f>
        <v>0</v>
      </c>
      <c r="D21" s="116">
        <f>C21*12</f>
        <v>0</v>
      </c>
    </row>
    <row r="22" spans="1:4" x14ac:dyDescent="0.25">
      <c r="A22" s="118" t="s">
        <v>176</v>
      </c>
      <c r="B22" s="121">
        <v>1.6635276000000001</v>
      </c>
      <c r="C22" s="116">
        <f>B22*$B$33</f>
        <v>3319.0702675200005</v>
      </c>
      <c r="D22" s="116">
        <f t="shared" ref="D22:D28" si="7">C22*12</f>
        <v>39828.843210240004</v>
      </c>
    </row>
    <row r="23" spans="1:4" x14ac:dyDescent="0.25">
      <c r="A23" s="114" t="s">
        <v>20</v>
      </c>
      <c r="B23" s="126">
        <v>0</v>
      </c>
      <c r="C23" s="116">
        <f t="shared" ref="C23:C26" si="8">B23*$B$33</f>
        <v>0</v>
      </c>
      <c r="D23" s="116">
        <f t="shared" si="7"/>
        <v>0</v>
      </c>
    </row>
    <row r="24" spans="1:4" x14ac:dyDescent="0.25">
      <c r="A24" s="118" t="s">
        <v>177</v>
      </c>
      <c r="B24" s="121">
        <v>1.7659924000000002</v>
      </c>
      <c r="C24" s="116">
        <f t="shared" si="8"/>
        <v>3523.5080364800006</v>
      </c>
      <c r="D24" s="116">
        <f t="shared" si="7"/>
        <v>42282.096437760003</v>
      </c>
    </row>
    <row r="25" spans="1:4" ht="30" x14ac:dyDescent="0.25">
      <c r="A25" s="114" t="s">
        <v>178</v>
      </c>
      <c r="B25" s="126">
        <v>0.48118479999999997</v>
      </c>
      <c r="C25" s="116">
        <f t="shared" si="8"/>
        <v>960.05991295999991</v>
      </c>
      <c r="D25" s="116">
        <f t="shared" si="7"/>
        <v>11520.718955519998</v>
      </c>
    </row>
    <row r="26" spans="1:4" x14ac:dyDescent="0.25">
      <c r="A26" s="118" t="s">
        <v>179</v>
      </c>
      <c r="B26" s="121">
        <v>1.1827000000000001</v>
      </c>
      <c r="C26" s="116">
        <f t="shared" si="8"/>
        <v>2359.7230400000003</v>
      </c>
      <c r="D26" s="116">
        <f t="shared" si="7"/>
        <v>28316.676480000002</v>
      </c>
    </row>
    <row r="27" spans="1:4" x14ac:dyDescent="0.25">
      <c r="A27" s="111" t="s">
        <v>180</v>
      </c>
      <c r="B27" s="126">
        <v>1.2020152000000002</v>
      </c>
      <c r="C27" s="116">
        <f>B27*$B$33</f>
        <v>2398.2607270400003</v>
      </c>
      <c r="D27" s="116">
        <f t="shared" si="7"/>
        <v>28779.128724480004</v>
      </c>
    </row>
    <row r="28" spans="1:4" x14ac:dyDescent="0.25">
      <c r="A28" s="111" t="s">
        <v>181</v>
      </c>
      <c r="B28" s="127">
        <v>3.4170012000000001</v>
      </c>
      <c r="C28" s="116">
        <f>B28*$B$33</f>
        <v>6817.6007942400001</v>
      </c>
      <c r="D28" s="116">
        <f t="shared" si="7"/>
        <v>81811.209530880005</v>
      </c>
    </row>
    <row r="29" spans="1:4" ht="15.75" x14ac:dyDescent="0.25">
      <c r="A29" s="111" t="s">
        <v>182</v>
      </c>
      <c r="B29" s="128">
        <f>B28+B27+B26+B25+B24+B22+B17+B14+B13+B12+B11+B10+B8+B7+B6+B5+B4+B15</f>
        <v>17.750007200000002</v>
      </c>
      <c r="C29" s="129">
        <f>C28+C27+C26+C25+C24+C22+C17+C14+C13+C12+C11+C10+C8+C7+C6+C5+C4+C15</f>
        <v>35414.814365440005</v>
      </c>
      <c r="D29" s="129">
        <f t="shared" ref="D29" si="9">D28+D27+D26+D25+D24+D22+D17+D14+D13+D12+D11+D10+D8+D7+D6+D5+D4+D15</f>
        <v>424977.77238528006</v>
      </c>
    </row>
    <row r="30" spans="1:4" ht="30" x14ac:dyDescent="0.25">
      <c r="A30" s="111" t="s">
        <v>183</v>
      </c>
      <c r="B30" s="130">
        <f>B31+B32</f>
        <v>0</v>
      </c>
      <c r="C30" s="130">
        <f t="shared" ref="C30:D30" si="10">C31+C32</f>
        <v>0</v>
      </c>
      <c r="D30" s="130">
        <f t="shared" si="10"/>
        <v>0</v>
      </c>
    </row>
    <row r="31" spans="1:4" x14ac:dyDescent="0.25">
      <c r="A31" s="111" t="s">
        <v>184</v>
      </c>
      <c r="B31" s="131"/>
      <c r="C31" s="110"/>
      <c r="D31" s="110"/>
    </row>
    <row r="32" spans="1:4" x14ac:dyDescent="0.25">
      <c r="A32" s="111" t="s">
        <v>185</v>
      </c>
      <c r="B32" s="131"/>
      <c r="C32" s="110"/>
      <c r="D32" s="110"/>
    </row>
    <row r="33" spans="1:4" x14ac:dyDescent="0.25">
      <c r="A33" s="132" t="s">
        <v>99</v>
      </c>
      <c r="B33" s="1">
        <f>'ТХ МКД'!C8</f>
        <v>1995.2</v>
      </c>
      <c r="C33" s="1"/>
      <c r="D33" s="1"/>
    </row>
    <row r="34" spans="1:4" x14ac:dyDescent="0.25">
      <c r="A34" s="1"/>
      <c r="B34" s="133" t="s">
        <v>186</v>
      </c>
      <c r="C34" s="2">
        <f>C29*3</f>
        <v>106244.44309632001</v>
      </c>
      <c r="D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7" workbookViewId="0">
      <selection activeCell="B32" sqref="B32"/>
    </sheetView>
  </sheetViews>
  <sheetFormatPr defaultRowHeight="15" x14ac:dyDescent="0.25"/>
  <cols>
    <col min="1" max="1" width="78.140625" customWidth="1"/>
    <col min="2" max="2" width="21.5703125" customWidth="1"/>
    <col min="3" max="3" width="16.140625" style="2" customWidth="1"/>
    <col min="4" max="4" width="18.5703125" customWidth="1"/>
    <col min="5" max="5" width="15.140625" customWidth="1"/>
  </cols>
  <sheetData>
    <row r="1" spans="1:5" ht="25.5" customHeight="1" x14ac:dyDescent="0.25">
      <c r="A1" s="64" t="s">
        <v>82</v>
      </c>
      <c r="B1" s="65"/>
      <c r="C1" s="66"/>
    </row>
    <row r="2" spans="1:5" ht="25.5" customHeight="1" x14ac:dyDescent="0.25">
      <c r="A2" s="59" t="s">
        <v>1</v>
      </c>
      <c r="B2" s="58" t="str">
        <f>'ТХ МКД'!B2</f>
        <v>РЕЧНАЯ, 4Б</v>
      </c>
      <c r="C2" s="58"/>
      <c r="D2" s="58" t="str">
        <f>'ТХ МКД'!B2</f>
        <v>РЕЧНАЯ, 4Б</v>
      </c>
      <c r="E2" s="78"/>
    </row>
    <row r="3" spans="1:5" ht="18" customHeight="1" x14ac:dyDescent="0.25">
      <c r="A3" s="3"/>
      <c r="B3" s="4">
        <v>2020</v>
      </c>
      <c r="C3" s="4"/>
      <c r="D3" s="4">
        <v>2019</v>
      </c>
      <c r="E3" s="78"/>
    </row>
    <row r="4" spans="1:5" ht="17.25" customHeight="1" x14ac:dyDescent="0.25">
      <c r="A4" s="5" t="s">
        <v>30</v>
      </c>
      <c r="B4" s="60" t="s">
        <v>29</v>
      </c>
      <c r="C4" s="61" t="s">
        <v>34</v>
      </c>
      <c r="D4" s="79" t="s">
        <v>29</v>
      </c>
      <c r="E4" s="79" t="s">
        <v>34</v>
      </c>
    </row>
    <row r="5" spans="1:5" ht="16.5" customHeight="1" x14ac:dyDescent="0.25">
      <c r="A5" s="6" t="s">
        <v>2</v>
      </c>
      <c r="B5" s="7">
        <f>SUM(B6:B10)</f>
        <v>0.60270000000000001</v>
      </c>
      <c r="C5" s="62">
        <f>SUM(C6:C10)</f>
        <v>1202.50704</v>
      </c>
      <c r="D5" s="77">
        <f>SUM(D6:D10)</f>
        <v>0.60270000000000001</v>
      </c>
      <c r="E5" s="82">
        <f>SUM(E6:E10)</f>
        <v>1202.2659600000002</v>
      </c>
    </row>
    <row r="6" spans="1:5" ht="39" customHeight="1" x14ac:dyDescent="0.25">
      <c r="A6" s="8" t="s">
        <v>3</v>
      </c>
      <c r="B6" s="9">
        <v>6.1100000000000002E-2</v>
      </c>
      <c r="C6" s="35">
        <f>B6*$B$31</f>
        <v>121.90672000000001</v>
      </c>
      <c r="D6" s="9">
        <v>6.1100000000000002E-2</v>
      </c>
      <c r="E6" s="81">
        <f>D6*$D$31</f>
        <v>121.88227999999999</v>
      </c>
    </row>
    <row r="7" spans="1:5" ht="18.75" customHeight="1" x14ac:dyDescent="0.25">
      <c r="A7" s="10" t="s">
        <v>4</v>
      </c>
      <c r="B7" s="9">
        <v>0.29749999999999999</v>
      </c>
      <c r="C7" s="35">
        <f t="shared" ref="C7:C29" si="0">B7*$B$31</f>
        <v>593.572</v>
      </c>
      <c r="D7" s="9">
        <v>0.29749999999999999</v>
      </c>
      <c r="E7" s="81">
        <f t="shared" ref="E7:E10" si="1">D7*$D$31</f>
        <v>593.45299999999997</v>
      </c>
    </row>
    <row r="8" spans="1:5" ht="25.5" x14ac:dyDescent="0.25">
      <c r="A8" s="8" t="s">
        <v>5</v>
      </c>
      <c r="B8" s="9">
        <v>2.86E-2</v>
      </c>
      <c r="C8" s="35">
        <f>B8*$B$31</f>
        <v>57.062719999999999</v>
      </c>
      <c r="D8" s="9">
        <v>2.86E-2</v>
      </c>
      <c r="E8" s="81">
        <f t="shared" si="1"/>
        <v>57.051279999999998</v>
      </c>
    </row>
    <row r="9" spans="1:5" ht="15.75" x14ac:dyDescent="0.25">
      <c r="A9" s="10" t="s">
        <v>6</v>
      </c>
      <c r="B9" s="9">
        <v>8.1299999999999997E-2</v>
      </c>
      <c r="C9" s="35">
        <f t="shared" si="0"/>
        <v>162.20975999999999</v>
      </c>
      <c r="D9" s="9">
        <v>8.1299999999999997E-2</v>
      </c>
      <c r="E9" s="81">
        <f t="shared" si="1"/>
        <v>162.17723999999998</v>
      </c>
    </row>
    <row r="10" spans="1:5" ht="15.75" x14ac:dyDescent="0.25">
      <c r="A10" s="10" t="s">
        <v>7</v>
      </c>
      <c r="B10" s="9">
        <v>0.13420000000000001</v>
      </c>
      <c r="C10" s="35">
        <f t="shared" si="0"/>
        <v>267.75584000000003</v>
      </c>
      <c r="D10" s="9">
        <v>0.13420000000000001</v>
      </c>
      <c r="E10" s="81">
        <f t="shared" si="1"/>
        <v>267.70216000000005</v>
      </c>
    </row>
    <row r="11" spans="1:5" s="1" customFormat="1" ht="15.75" hidden="1" x14ac:dyDescent="0.25">
      <c r="A11" s="10"/>
      <c r="B11" s="9"/>
      <c r="C11" s="53">
        <f t="shared" si="0"/>
        <v>0</v>
      </c>
      <c r="D11" s="75">
        <v>0</v>
      </c>
    </row>
    <row r="12" spans="1:5" ht="15.75" x14ac:dyDescent="0.25">
      <c r="A12" s="6" t="s">
        <v>8</v>
      </c>
      <c r="B12" s="7">
        <f>SUM(B13:B20)</f>
        <v>5.9874144582747775</v>
      </c>
      <c r="C12" s="62">
        <f>SUM(C13:C20)</f>
        <v>11946.089327149835</v>
      </c>
      <c r="D12" s="76">
        <f t="shared" ref="D12:E12" si="2">SUM(D13:D20)</f>
        <v>5.8895000000000008</v>
      </c>
      <c r="E12" s="62">
        <f t="shared" si="2"/>
        <v>11748.374599999999</v>
      </c>
    </row>
    <row r="13" spans="1:5" ht="15.75" x14ac:dyDescent="0.25">
      <c r="A13" s="10" t="s">
        <v>9</v>
      </c>
      <c r="B13" s="9">
        <v>1.1166</v>
      </c>
      <c r="C13" s="35">
        <f t="shared" si="0"/>
        <v>2227.8403200000002</v>
      </c>
      <c r="D13" s="9">
        <v>1.1166</v>
      </c>
      <c r="E13" s="81">
        <f>D13*$D$31</f>
        <v>2227.3936800000001</v>
      </c>
    </row>
    <row r="14" spans="1:5" ht="15.75" x14ac:dyDescent="0.25">
      <c r="A14" s="10" t="s">
        <v>10</v>
      </c>
      <c r="B14" s="9">
        <v>0.1774</v>
      </c>
      <c r="C14" s="35">
        <f t="shared" si="0"/>
        <v>353.94848000000002</v>
      </c>
      <c r="D14" s="9">
        <v>0.1774</v>
      </c>
      <c r="E14" s="81">
        <f t="shared" ref="E14:E20" si="3">D14*$D$31</f>
        <v>353.87752</v>
      </c>
    </row>
    <row r="15" spans="1:5" ht="15.75" x14ac:dyDescent="0.25">
      <c r="A15" s="10" t="s">
        <v>11</v>
      </c>
      <c r="B15" s="9">
        <v>0.28460000000000002</v>
      </c>
      <c r="C15" s="35">
        <f t="shared" si="0"/>
        <v>567.83392000000003</v>
      </c>
      <c r="D15" s="9">
        <v>0.28460000000000002</v>
      </c>
      <c r="E15" s="81">
        <f t="shared" si="3"/>
        <v>567.72008000000005</v>
      </c>
    </row>
    <row r="16" spans="1:5" ht="15.75" x14ac:dyDescent="0.25">
      <c r="A16" s="11" t="s">
        <v>12</v>
      </c>
      <c r="B16" s="9">
        <v>8.4199999999999997E-2</v>
      </c>
      <c r="C16" s="35">
        <f t="shared" si="0"/>
        <v>167.99583999999999</v>
      </c>
      <c r="D16" s="9">
        <v>8.4199999999999997E-2</v>
      </c>
      <c r="E16" s="81">
        <f t="shared" si="3"/>
        <v>167.96215999999998</v>
      </c>
    </row>
    <row r="17" spans="1:5" ht="15.75" x14ac:dyDescent="0.25">
      <c r="A17" s="10" t="s">
        <v>13</v>
      </c>
      <c r="B17" s="9">
        <v>3.0459999999999998</v>
      </c>
      <c r="C17" s="35">
        <f t="shared" si="0"/>
        <v>6077.3791999999994</v>
      </c>
      <c r="D17" s="9">
        <v>3.0459999999999998</v>
      </c>
      <c r="E17" s="81">
        <f t="shared" si="3"/>
        <v>6076.1607999999997</v>
      </c>
    </row>
    <row r="18" spans="1:5" ht="15.75" x14ac:dyDescent="0.25">
      <c r="A18" s="10" t="s">
        <v>14</v>
      </c>
      <c r="B18" s="9">
        <v>0.39803252358964059</v>
      </c>
      <c r="C18" s="35">
        <f t="shared" si="0"/>
        <v>794.15449106605092</v>
      </c>
      <c r="D18" s="9">
        <v>0.35920000000000002</v>
      </c>
      <c r="E18" s="81">
        <f t="shared" si="3"/>
        <v>716.53215999999998</v>
      </c>
    </row>
    <row r="19" spans="1:5" ht="15.75" x14ac:dyDescent="0.25">
      <c r="A19" s="10" t="s">
        <v>15</v>
      </c>
      <c r="B19" s="9">
        <v>0.60588193468513674</v>
      </c>
      <c r="C19" s="35">
        <f t="shared" si="0"/>
        <v>1208.8556360837849</v>
      </c>
      <c r="D19" s="9">
        <v>0.54679999999999995</v>
      </c>
      <c r="E19" s="81">
        <f t="shared" si="3"/>
        <v>1090.7566399999998</v>
      </c>
    </row>
    <row r="20" spans="1:5" ht="15.75" x14ac:dyDescent="0.25">
      <c r="A20" s="11" t="s">
        <v>16</v>
      </c>
      <c r="B20" s="9">
        <v>0.2747</v>
      </c>
      <c r="C20" s="35">
        <f t="shared" si="0"/>
        <v>548.08144000000004</v>
      </c>
      <c r="D20" s="9">
        <v>0.2747</v>
      </c>
      <c r="E20" s="81">
        <f t="shared" si="3"/>
        <v>547.97155999999995</v>
      </c>
    </row>
    <row r="21" spans="1:5" ht="28.5" x14ac:dyDescent="0.25">
      <c r="A21" s="6" t="s">
        <v>17</v>
      </c>
      <c r="B21" s="7">
        <f>SUM(B22:B27)</f>
        <v>5.4848999999999997</v>
      </c>
      <c r="C21" s="62">
        <f>SUM(C22:C27)</f>
        <v>10943.47248</v>
      </c>
      <c r="D21" s="76">
        <f t="shared" ref="D21:E21" si="4">SUM(D22:D27)</f>
        <v>5.4848999999999997</v>
      </c>
      <c r="E21" s="62">
        <f t="shared" si="4"/>
        <v>10941.27852</v>
      </c>
    </row>
    <row r="22" spans="1:5" ht="15.75" x14ac:dyDescent="0.25">
      <c r="A22" s="10" t="s">
        <v>18</v>
      </c>
      <c r="B22" s="9">
        <v>0</v>
      </c>
      <c r="C22" s="35">
        <f t="shared" si="0"/>
        <v>0</v>
      </c>
      <c r="D22" s="9">
        <v>0</v>
      </c>
      <c r="E22" s="83">
        <f>D22*$D$31</f>
        <v>0</v>
      </c>
    </row>
    <row r="23" spans="1:5" ht="15.75" x14ac:dyDescent="0.25">
      <c r="A23" s="10" t="s">
        <v>19</v>
      </c>
      <c r="B23" s="9">
        <v>1.5825</v>
      </c>
      <c r="C23" s="35">
        <f t="shared" si="0"/>
        <v>3157.404</v>
      </c>
      <c r="D23" s="9">
        <v>1.5825</v>
      </c>
      <c r="E23" s="81">
        <f t="shared" ref="E23:E29" si="5">D23*$D$31</f>
        <v>3156.7710000000002</v>
      </c>
    </row>
    <row r="24" spans="1:5" ht="15.75" x14ac:dyDescent="0.25">
      <c r="A24" s="10" t="s">
        <v>20</v>
      </c>
      <c r="B24" s="9">
        <v>0</v>
      </c>
      <c r="C24" s="35">
        <f t="shared" si="0"/>
        <v>0</v>
      </c>
      <c r="D24" s="9">
        <v>0</v>
      </c>
      <c r="E24" s="83">
        <f t="shared" si="5"/>
        <v>0</v>
      </c>
    </row>
    <row r="25" spans="1:5" ht="15.75" x14ac:dyDescent="0.25">
      <c r="A25" s="10" t="s">
        <v>21</v>
      </c>
      <c r="B25" s="9">
        <v>1.8692</v>
      </c>
      <c r="C25" s="35">
        <f t="shared" si="0"/>
        <v>3729.4278399999998</v>
      </c>
      <c r="D25" s="9">
        <v>1.8692</v>
      </c>
      <c r="E25" s="81">
        <f t="shared" si="5"/>
        <v>3728.6801599999999</v>
      </c>
    </row>
    <row r="26" spans="1:5" ht="15.75" x14ac:dyDescent="0.25">
      <c r="A26" s="10" t="s">
        <v>22</v>
      </c>
      <c r="B26" s="9">
        <v>0.45800000000000002</v>
      </c>
      <c r="C26" s="35">
        <f t="shared" si="0"/>
        <v>913.80160000000001</v>
      </c>
      <c r="D26" s="9">
        <v>0.45800000000000002</v>
      </c>
      <c r="E26" s="81">
        <f t="shared" si="5"/>
        <v>913.61840000000007</v>
      </c>
    </row>
    <row r="27" spans="1:5" ht="15.75" x14ac:dyDescent="0.25">
      <c r="A27" s="10" t="s">
        <v>23</v>
      </c>
      <c r="B27" s="9">
        <v>1.5751999999999999</v>
      </c>
      <c r="C27" s="35">
        <f t="shared" si="0"/>
        <v>3142.8390399999998</v>
      </c>
      <c r="D27" s="9">
        <v>1.5751999999999999</v>
      </c>
      <c r="E27" s="81">
        <f t="shared" si="5"/>
        <v>3142.2089599999999</v>
      </c>
    </row>
    <row r="28" spans="1:5" ht="15.75" x14ac:dyDescent="0.25">
      <c r="A28" s="6" t="s">
        <v>24</v>
      </c>
      <c r="B28" s="7">
        <v>1.1619999999999999</v>
      </c>
      <c r="C28" s="35">
        <f>B28*$B$31</f>
        <v>2318.4223999999999</v>
      </c>
      <c r="D28" s="7">
        <v>1.1619999999999999</v>
      </c>
      <c r="E28" s="81">
        <f t="shared" si="5"/>
        <v>2317.9575999999997</v>
      </c>
    </row>
    <row r="29" spans="1:5" ht="15.75" x14ac:dyDescent="0.25">
      <c r="A29" s="6" t="s">
        <v>25</v>
      </c>
      <c r="B29" s="7">
        <v>3.3031999999999999</v>
      </c>
      <c r="C29" s="35">
        <f t="shared" si="0"/>
        <v>6590.5446400000001</v>
      </c>
      <c r="D29" s="7">
        <v>3.3031999999999999</v>
      </c>
      <c r="E29" s="81">
        <f t="shared" si="5"/>
        <v>6589.22336</v>
      </c>
    </row>
    <row r="30" spans="1:5" ht="15.75" x14ac:dyDescent="0.25">
      <c r="A30" s="67" t="s">
        <v>26</v>
      </c>
      <c r="B30" s="12">
        <f>B29+B28+B27+B26+B25+B24+B23+B22+B20+B19+B18+B17+B16+B15+B14+B13+B10+B9+B8+B7+B6</f>
        <v>16.540214458274772</v>
      </c>
      <c r="C30" s="63">
        <f>C29+C28+C27+C26+C25+C24+C23+C22+C20+C19+C18+C17+C16+C15+C14+C13+C10+C9+C8+C7+C6</f>
        <v>33001.035887149839</v>
      </c>
      <c r="D30" s="80">
        <f t="shared" ref="D30:E30" si="6">D29+D28+D27+D26+D25+D24+D23+D22+D20+D19+D18+D17+D16+D15+D14+D13+D10+D9+D8+D7+D6</f>
        <v>16.442299999999996</v>
      </c>
      <c r="E30" s="63">
        <f t="shared" si="6"/>
        <v>32799.100039999998</v>
      </c>
    </row>
    <row r="31" spans="1:5" ht="15.75" x14ac:dyDescent="0.25">
      <c r="A31" s="6" t="s">
        <v>27</v>
      </c>
      <c r="B31" s="74">
        <f>'ТХ МКД'!C8</f>
        <v>1995.2</v>
      </c>
      <c r="C31" s="74"/>
      <c r="D31" s="74">
        <v>1994.8</v>
      </c>
    </row>
    <row r="32" spans="1:5" ht="15.75" x14ac:dyDescent="0.25">
      <c r="A32" s="6" t="s">
        <v>28</v>
      </c>
      <c r="B32" s="35">
        <f>B30*B31</f>
        <v>33001.035887149825</v>
      </c>
      <c r="C32" s="35"/>
      <c r="D32" s="35">
        <f t="shared" ref="D32" si="7">D30*D31</f>
        <v>32799.10003999999</v>
      </c>
    </row>
    <row r="34" spans="3:3" x14ac:dyDescent="0.25">
      <c r="C34" s="2">
        <f>C30*9</f>
        <v>297009.32298434858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opLeftCell="F1" zoomScaleNormal="100" workbookViewId="0">
      <selection activeCell="H68" sqref="H68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3.7109375" style="2" hidden="1" customWidth="1"/>
    <col min="4" max="4" width="12.85546875" style="2" customWidth="1"/>
    <col min="5" max="5" width="14.28515625" style="2" customWidth="1"/>
    <col min="6" max="6" width="19.28515625" style="2" customWidth="1"/>
    <col min="7" max="7" width="17.140625" style="2" customWidth="1"/>
    <col min="8" max="8" width="20.28515625" style="1" customWidth="1"/>
    <col min="9" max="9" width="11.140625" style="1" customWidth="1"/>
    <col min="10" max="13" width="9.140625" style="1" customWidth="1"/>
    <col min="14" max="16384" width="9.140625" style="1"/>
  </cols>
  <sheetData>
    <row r="1" spans="1:11" ht="28.5" customHeight="1" x14ac:dyDescent="0.25">
      <c r="A1" s="68" t="s">
        <v>47</v>
      </c>
      <c r="B1" s="48"/>
      <c r="C1" s="48"/>
      <c r="D1" s="48"/>
      <c r="E1" s="48"/>
      <c r="F1" s="48"/>
    </row>
    <row r="2" spans="1:11" ht="30" customHeight="1" x14ac:dyDescent="0.25">
      <c r="A2" s="68" t="s">
        <v>81</v>
      </c>
      <c r="B2" s="48"/>
      <c r="C2" s="48"/>
      <c r="D2" s="48"/>
      <c r="E2" s="48"/>
      <c r="F2" s="48"/>
    </row>
    <row r="3" spans="1:11" ht="23.25" customHeight="1" x14ac:dyDescent="0.25">
      <c r="A3" s="153" t="s">
        <v>151</v>
      </c>
      <c r="B3" s="153"/>
      <c r="C3" s="153"/>
      <c r="D3" s="153"/>
      <c r="E3" s="153"/>
      <c r="F3" s="153"/>
      <c r="G3" s="20"/>
    </row>
    <row r="4" spans="1:11" ht="22.5" customHeight="1" x14ac:dyDescent="0.25">
      <c r="A4" s="57" t="s">
        <v>1</v>
      </c>
      <c r="B4" s="162" t="str">
        <f>тариф!B2</f>
        <v>РЕЧНАЯ, 4Б</v>
      </c>
      <c r="C4" s="161"/>
      <c r="D4" s="161"/>
      <c r="E4" s="161"/>
      <c r="F4" s="163"/>
      <c r="G4" s="25"/>
    </row>
    <row r="5" spans="1:11" ht="20.25" customHeight="1" x14ac:dyDescent="0.25">
      <c r="A5" s="155" t="s">
        <v>30</v>
      </c>
      <c r="B5" s="158" t="s">
        <v>44</v>
      </c>
      <c r="C5" s="159"/>
      <c r="D5" s="160"/>
      <c r="E5" s="51" t="s">
        <v>45</v>
      </c>
      <c r="F5" s="51" t="s">
        <v>72</v>
      </c>
    </row>
    <row r="6" spans="1:11" ht="18" customHeight="1" x14ac:dyDescent="0.25">
      <c r="A6" s="156"/>
      <c r="B6" s="24" t="s">
        <v>43</v>
      </c>
      <c r="C6" s="24" t="s">
        <v>42</v>
      </c>
      <c r="D6" s="24" t="s">
        <v>42</v>
      </c>
      <c r="E6" s="24" t="s">
        <v>42</v>
      </c>
      <c r="F6" s="24" t="s">
        <v>73</v>
      </c>
      <c r="G6" s="26"/>
    </row>
    <row r="7" spans="1:11" ht="15.75" x14ac:dyDescent="0.25">
      <c r="A7" s="157"/>
      <c r="B7" s="34" t="s">
        <v>34</v>
      </c>
      <c r="C7" s="34" t="s">
        <v>34</v>
      </c>
      <c r="D7" s="34" t="s">
        <v>34</v>
      </c>
      <c r="E7" s="34" t="s">
        <v>34</v>
      </c>
      <c r="F7" s="34" t="s">
        <v>34</v>
      </c>
      <c r="G7" s="21"/>
    </row>
    <row r="8" spans="1:11" ht="15.75" x14ac:dyDescent="0.25">
      <c r="A8" s="55">
        <v>1</v>
      </c>
      <c r="B8" s="56">
        <v>2</v>
      </c>
      <c r="C8" s="56"/>
      <c r="D8" s="56">
        <v>3</v>
      </c>
      <c r="E8" s="56">
        <v>4</v>
      </c>
      <c r="F8" s="56">
        <v>5</v>
      </c>
      <c r="G8" s="21"/>
    </row>
    <row r="9" spans="1:11" ht="17.25" customHeight="1" x14ac:dyDescent="0.25">
      <c r="A9" s="29" t="s">
        <v>2</v>
      </c>
      <c r="B9" s="15">
        <f>B10+B15+B20+B25+B30</f>
        <v>1202.50704</v>
      </c>
      <c r="C9" s="15">
        <f>C10+C15+C20+C25+C30</f>
        <v>14430.084480000001</v>
      </c>
      <c r="D9" s="15">
        <f t="shared" ref="D9:E9" si="0">D10+D15+D20+D25+D30</f>
        <v>14430.084480000001</v>
      </c>
      <c r="E9" s="15">
        <f t="shared" si="0"/>
        <v>0</v>
      </c>
      <c r="F9" s="15">
        <f>D9-E9</f>
        <v>14430.084480000001</v>
      </c>
      <c r="G9" s="23">
        <f>тариф!C5</f>
        <v>1202.50704</v>
      </c>
      <c r="H9" s="23"/>
    </row>
    <row r="10" spans="1:11" ht="63.75" customHeight="1" x14ac:dyDescent="0.25">
      <c r="A10" s="31" t="s">
        <v>152</v>
      </c>
      <c r="B10" s="35">
        <f>G10</f>
        <v>121.90672000000001</v>
      </c>
      <c r="C10" s="35">
        <f>B10*12</f>
        <v>1462.8806400000001</v>
      </c>
      <c r="D10" s="35">
        <f>B10*12</f>
        <v>1462.8806400000001</v>
      </c>
      <c r="E10" s="35">
        <f>SUM(E11:E14)</f>
        <v>0</v>
      </c>
      <c r="F10" s="15">
        <f t="shared" ref="F10:F72" si="1">D10-E10</f>
        <v>1462.8806400000001</v>
      </c>
      <c r="G10" s="22">
        <f>тариф!C6</f>
        <v>121.90672000000001</v>
      </c>
      <c r="H10" s="1" t="s">
        <v>134</v>
      </c>
      <c r="I10" s="1" t="s">
        <v>135</v>
      </c>
    </row>
    <row r="11" spans="1:11" ht="17.25" customHeight="1" x14ac:dyDescent="0.25">
      <c r="A11" s="36" t="s">
        <v>36</v>
      </c>
      <c r="B11" s="35"/>
      <c r="C11" s="35"/>
      <c r="D11" s="35"/>
      <c r="E11" s="35">
        <v>0</v>
      </c>
      <c r="F11" s="15"/>
      <c r="G11" s="22">
        <f>H14+I14</f>
        <v>123.07762169730123</v>
      </c>
      <c r="H11" s="18">
        <v>19379</v>
      </c>
      <c r="I11" s="1">
        <v>21085</v>
      </c>
      <c r="K11" s="18"/>
    </row>
    <row r="12" spans="1:11" ht="14.25" customHeight="1" x14ac:dyDescent="0.25">
      <c r="A12" s="36" t="s">
        <v>37</v>
      </c>
      <c r="B12" s="35"/>
      <c r="C12" s="35"/>
      <c r="D12" s="35"/>
      <c r="E12" s="35">
        <v>0</v>
      </c>
      <c r="F12" s="15"/>
      <c r="G12" s="22">
        <f>G11*0.302</f>
        <v>37.169441752584966</v>
      </c>
      <c r="H12" s="86">
        <f>('ТХ МКД'!B7+'ТХ МКД'!B28*0.5)*0.0111/1000</f>
        <v>3.5334075E-2</v>
      </c>
      <c r="I12" s="86">
        <f>('ТХ МКД'!B7+'ТХ МКД'!B28*0.5)*0.00539/1000</f>
        <v>1.7157717499999999E-2</v>
      </c>
      <c r="J12" s="102"/>
    </row>
    <row r="13" spans="1:11" ht="14.25" customHeight="1" x14ac:dyDescent="0.25">
      <c r="A13" s="36" t="s">
        <v>38</v>
      </c>
      <c r="B13" s="35"/>
      <c r="C13" s="35"/>
      <c r="D13" s="35"/>
      <c r="E13" s="35">
        <v>0</v>
      </c>
      <c r="F13" s="15"/>
      <c r="G13" s="22"/>
      <c r="H13" s="86">
        <f>H12*0.109</f>
        <v>3.8514141749999998E-3</v>
      </c>
      <c r="I13" s="86">
        <f>I12*0.1339</f>
        <v>2.2974183732499998E-3</v>
      </c>
    </row>
    <row r="14" spans="1:11" ht="14.25" customHeight="1" x14ac:dyDescent="0.25">
      <c r="A14" s="36" t="s">
        <v>0</v>
      </c>
      <c r="B14" s="35"/>
      <c r="C14" s="35"/>
      <c r="D14" s="35"/>
      <c r="E14" s="35">
        <v>0</v>
      </c>
      <c r="F14" s="15"/>
      <c r="G14" s="22"/>
      <c r="H14" s="103">
        <f>H11*H13</f>
        <v>74.636555297324989</v>
      </c>
      <c r="I14" s="103">
        <f>I11*I13</f>
        <v>48.441066399976243</v>
      </c>
    </row>
    <row r="15" spans="1:11" ht="33.75" customHeight="1" x14ac:dyDescent="0.25">
      <c r="A15" s="31" t="s">
        <v>4</v>
      </c>
      <c r="B15" s="35">
        <f>G15</f>
        <v>593.572</v>
      </c>
      <c r="C15" s="35">
        <f>B15*12</f>
        <v>7122.8639999999996</v>
      </c>
      <c r="D15" s="35">
        <f>B15*12</f>
        <v>7122.8639999999996</v>
      </c>
      <c r="E15" s="35">
        <f>SUM(E16:E19)</f>
        <v>0</v>
      </c>
      <c r="F15" s="15">
        <f t="shared" si="1"/>
        <v>7122.8639999999996</v>
      </c>
      <c r="G15" s="22">
        <f>тариф!C7</f>
        <v>593.572</v>
      </c>
      <c r="H15" s="1" t="s">
        <v>136</v>
      </c>
      <c r="I15" s="1" t="s">
        <v>137</v>
      </c>
      <c r="J15" s="1" t="s">
        <v>138</v>
      </c>
    </row>
    <row r="16" spans="1:11" ht="15.75" customHeight="1" x14ac:dyDescent="0.25">
      <c r="A16" s="38" t="s">
        <v>36</v>
      </c>
      <c r="B16" s="35"/>
      <c r="C16" s="35"/>
      <c r="D16" s="35"/>
      <c r="E16" s="35">
        <v>0</v>
      </c>
      <c r="F16" s="15"/>
      <c r="G16" s="22">
        <f>H19+I19</f>
        <v>439.50665721067878</v>
      </c>
      <c r="H16" s="1">
        <v>21085</v>
      </c>
      <c r="I16" s="1">
        <v>19379</v>
      </c>
      <c r="J16" s="1">
        <v>16576</v>
      </c>
    </row>
    <row r="17" spans="1:10" ht="17.25" customHeight="1" x14ac:dyDescent="0.25">
      <c r="A17" s="37" t="s">
        <v>37</v>
      </c>
      <c r="B17" s="35"/>
      <c r="C17" s="35"/>
      <c r="D17" s="35"/>
      <c r="E17" s="35">
        <v>0</v>
      </c>
      <c r="F17" s="15"/>
      <c r="G17" s="22">
        <f>G16*0.302</f>
        <v>132.73101047762498</v>
      </c>
      <c r="H17" s="86">
        <f>('ТХ МКД'!B7+'ТХ МКД'!B28*0.5)*0.0018/1000</f>
        <v>5.7298499999999999E-3</v>
      </c>
      <c r="I17" s="86">
        <f>('ТХ МКД'!B7+'ТХ МКД'!B28*0.5)*0.02295/1000</f>
        <v>7.3055587500000005E-2</v>
      </c>
      <c r="J17" s="86"/>
    </row>
    <row r="18" spans="1:10" ht="17.25" customHeight="1" x14ac:dyDescent="0.25">
      <c r="A18" s="37" t="s">
        <v>38</v>
      </c>
      <c r="B18" s="35"/>
      <c r="C18" s="35"/>
      <c r="D18" s="35"/>
      <c r="E18" s="35">
        <v>0</v>
      </c>
      <c r="F18" s="15"/>
      <c r="G18" s="22">
        <f>G15-G16-G17</f>
        <v>21.334332311696244</v>
      </c>
      <c r="H18" s="86">
        <f>H17*0.5079</f>
        <v>2.9101908150000002E-3</v>
      </c>
      <c r="I18" s="86">
        <f>I17*0.2671</f>
        <v>1.9513147421250002E-2</v>
      </c>
      <c r="J18" s="18"/>
    </row>
    <row r="19" spans="1:10" ht="17.25" customHeight="1" x14ac:dyDescent="0.25">
      <c r="A19" s="37" t="s">
        <v>0</v>
      </c>
      <c r="B19" s="35"/>
      <c r="C19" s="35"/>
      <c r="D19" s="35"/>
      <c r="E19" s="35">
        <v>0</v>
      </c>
      <c r="F19" s="15"/>
      <c r="G19" s="22"/>
      <c r="H19" s="103">
        <f>H16*H18</f>
        <v>61.361373334275001</v>
      </c>
      <c r="I19" s="103">
        <f>I16*I18</f>
        <v>378.14528387640377</v>
      </c>
      <c r="J19" s="104">
        <f>J18/2</f>
        <v>0</v>
      </c>
    </row>
    <row r="20" spans="1:10" ht="63.75" customHeight="1" x14ac:dyDescent="0.25">
      <c r="A20" s="31" t="s">
        <v>5</v>
      </c>
      <c r="B20" s="35">
        <f>G20</f>
        <v>57.062719999999999</v>
      </c>
      <c r="C20" s="35">
        <f>B20*12</f>
        <v>684.75263999999993</v>
      </c>
      <c r="D20" s="35">
        <f>B20*12</f>
        <v>684.75263999999993</v>
      </c>
      <c r="E20" s="35">
        <f>SUM(E21:E24)</f>
        <v>0</v>
      </c>
      <c r="F20" s="15">
        <f t="shared" si="1"/>
        <v>684.75263999999993</v>
      </c>
      <c r="G20" s="22">
        <f>тариф!C8</f>
        <v>57.062719999999999</v>
      </c>
      <c r="H20" s="1" t="s">
        <v>139</v>
      </c>
    </row>
    <row r="21" spans="1:10" ht="15.75" x14ac:dyDescent="0.25">
      <c r="A21" s="37" t="s">
        <v>36</v>
      </c>
      <c r="B21" s="35"/>
      <c r="C21" s="35"/>
      <c r="D21" s="35"/>
      <c r="E21" s="35">
        <v>0</v>
      </c>
      <c r="F21" s="15"/>
      <c r="G21" s="22">
        <f>H24</f>
        <v>65.296714799568008</v>
      </c>
      <c r="H21" s="1">
        <v>19379</v>
      </c>
    </row>
    <row r="22" spans="1:10" ht="15.75" x14ac:dyDescent="0.25">
      <c r="A22" s="37" t="s">
        <v>37</v>
      </c>
      <c r="B22" s="35"/>
      <c r="C22" s="35"/>
      <c r="D22" s="35"/>
      <c r="E22" s="35">
        <v>0</v>
      </c>
      <c r="F22" s="15"/>
      <c r="G22" s="22">
        <f>G21*0.302</f>
        <v>19.719607869469538</v>
      </c>
      <c r="H22" s="86">
        <f>('ТХ МКД'!B7+'ТХ МКД'!B28*0.5)*0.00888/1000</f>
        <v>2.8267260000000002E-2</v>
      </c>
    </row>
    <row r="23" spans="1:10" ht="15.75" x14ac:dyDescent="0.25">
      <c r="A23" s="37" t="s">
        <v>38</v>
      </c>
      <c r="B23" s="35"/>
      <c r="C23" s="35"/>
      <c r="D23" s="35"/>
      <c r="E23" s="35">
        <v>0</v>
      </c>
      <c r="F23" s="15"/>
      <c r="G23" s="22"/>
      <c r="H23" s="86">
        <f>H22*0.1192</f>
        <v>3.3694573920000003E-3</v>
      </c>
      <c r="I23" s="2"/>
    </row>
    <row r="24" spans="1:10" ht="15.75" x14ac:dyDescent="0.25">
      <c r="A24" s="37" t="s">
        <v>0</v>
      </c>
      <c r="B24" s="35"/>
      <c r="C24" s="35"/>
      <c r="D24" s="35"/>
      <c r="E24" s="35">
        <v>0</v>
      </c>
      <c r="F24" s="15"/>
      <c r="G24" s="22"/>
      <c r="H24" s="103">
        <f>H21*H23</f>
        <v>65.296714799568008</v>
      </c>
    </row>
    <row r="25" spans="1:10" ht="15.75" x14ac:dyDescent="0.25">
      <c r="A25" s="31" t="s">
        <v>6</v>
      </c>
      <c r="B25" s="35">
        <f>G25</f>
        <v>162.20975999999999</v>
      </c>
      <c r="C25" s="35">
        <f>B25*12</f>
        <v>1946.51712</v>
      </c>
      <c r="D25" s="35">
        <f>B25*12</f>
        <v>1946.51712</v>
      </c>
      <c r="E25" s="35">
        <f>SUM(E26:E29)</f>
        <v>0</v>
      </c>
      <c r="F25" s="15">
        <f t="shared" si="1"/>
        <v>1946.51712</v>
      </c>
      <c r="G25" s="22">
        <f>тариф!C9</f>
        <v>162.20975999999999</v>
      </c>
      <c r="H25" s="1" t="s">
        <v>140</v>
      </c>
    </row>
    <row r="26" spans="1:10" ht="15.75" x14ac:dyDescent="0.25">
      <c r="A26" s="37" t="s">
        <v>36</v>
      </c>
      <c r="B26" s="35"/>
      <c r="C26" s="35"/>
      <c r="D26" s="35"/>
      <c r="E26" s="35">
        <v>0</v>
      </c>
      <c r="F26" s="15"/>
      <c r="G26" s="22">
        <f>H28</f>
        <v>99.785471720000004</v>
      </c>
      <c r="H26" s="1">
        <v>12188</v>
      </c>
    </row>
    <row r="27" spans="1:10" ht="15.75" x14ac:dyDescent="0.25">
      <c r="A27" s="37" t="s">
        <v>37</v>
      </c>
      <c r="B27" s="35"/>
      <c r="C27" s="35"/>
      <c r="D27" s="35"/>
      <c r="E27" s="35">
        <v>0</v>
      </c>
      <c r="F27" s="15"/>
      <c r="G27" s="22">
        <f>G26*0.302</f>
        <v>30.135212459440002</v>
      </c>
      <c r="H27" s="86">
        <f>'ТХ МКД'!B27*0.0263/1000</f>
        <v>8.1871900000000004E-3</v>
      </c>
    </row>
    <row r="28" spans="1:10" ht="15.75" x14ac:dyDescent="0.25">
      <c r="A28" s="37" t="s">
        <v>38</v>
      </c>
      <c r="B28" s="35"/>
      <c r="C28" s="35"/>
      <c r="D28" s="35"/>
      <c r="E28" s="35">
        <v>0</v>
      </c>
      <c r="F28" s="15"/>
      <c r="G28" s="22">
        <f>G25-G26-G27</f>
        <v>32.289075820559987</v>
      </c>
      <c r="H28" s="103">
        <f>H26*H27</f>
        <v>99.785471720000004</v>
      </c>
      <c r="I28" s="2"/>
    </row>
    <row r="29" spans="1:10" ht="15.75" x14ac:dyDescent="0.25">
      <c r="A29" s="37" t="s">
        <v>0</v>
      </c>
      <c r="B29" s="35"/>
      <c r="C29" s="35"/>
      <c r="D29" s="35"/>
      <c r="E29" s="35">
        <v>0</v>
      </c>
      <c r="F29" s="15"/>
      <c r="G29" s="22"/>
    </row>
    <row r="30" spans="1:10" ht="31.5" x14ac:dyDescent="0.25">
      <c r="A30" s="31" t="s">
        <v>7</v>
      </c>
      <c r="B30" s="35">
        <f>G30</f>
        <v>267.75584000000003</v>
      </c>
      <c r="C30" s="35">
        <f>B30*12</f>
        <v>3213.0700800000004</v>
      </c>
      <c r="D30" s="35">
        <f>B30*12</f>
        <v>3213.0700800000004</v>
      </c>
      <c r="E30" s="35">
        <f>SUM(E31:E34)</f>
        <v>0</v>
      </c>
      <c r="F30" s="15">
        <f t="shared" si="1"/>
        <v>3213.0700800000004</v>
      </c>
      <c r="G30" s="22">
        <f>тариф!C10</f>
        <v>267.75584000000003</v>
      </c>
      <c r="H30" s="1" t="s">
        <v>141</v>
      </c>
    </row>
    <row r="31" spans="1:10" ht="15.75" x14ac:dyDescent="0.25">
      <c r="A31" s="37" t="s">
        <v>36</v>
      </c>
      <c r="B31" s="35"/>
      <c r="C31" s="35"/>
      <c r="D31" s="35"/>
      <c r="E31" s="35"/>
      <c r="F31" s="15"/>
      <c r="G31" s="22">
        <f>H34</f>
        <v>69.949854704519993</v>
      </c>
      <c r="H31" s="1">
        <v>19379</v>
      </c>
    </row>
    <row r="32" spans="1:10" ht="15.75" x14ac:dyDescent="0.25">
      <c r="A32" s="37" t="s">
        <v>37</v>
      </c>
      <c r="B32" s="35"/>
      <c r="C32" s="35"/>
      <c r="D32" s="35"/>
      <c r="E32" s="35"/>
      <c r="F32" s="15"/>
      <c r="G32" s="22">
        <f>G31*0.302</f>
        <v>21.124856120765038</v>
      </c>
      <c r="H32" s="86">
        <f>'ТХ МКД'!B21/1000*0.0763</f>
        <v>2.3347800000000002E-2</v>
      </c>
    </row>
    <row r="33" spans="1:9" ht="15.75" customHeight="1" x14ac:dyDescent="0.25">
      <c r="A33" s="37" t="s">
        <v>83</v>
      </c>
      <c r="B33" s="35"/>
      <c r="C33" s="35"/>
      <c r="D33" s="35"/>
      <c r="E33" s="35"/>
      <c r="F33" s="15"/>
      <c r="G33" s="22">
        <f>G30-G31-G32</f>
        <v>176.68112917471501</v>
      </c>
      <c r="H33" s="86">
        <f>H32*0.1546</f>
        <v>3.6095698799999999E-3</v>
      </c>
      <c r="I33" s="2"/>
    </row>
    <row r="34" spans="1:9" ht="15.75" x14ac:dyDescent="0.25">
      <c r="A34" s="37" t="s">
        <v>0</v>
      </c>
      <c r="B34" s="35"/>
      <c r="C34" s="35"/>
      <c r="D34" s="35"/>
      <c r="E34" s="35"/>
      <c r="F34" s="15"/>
      <c r="G34" s="22"/>
      <c r="H34" s="103">
        <f>H31*H33</f>
        <v>69.949854704519993</v>
      </c>
    </row>
    <row r="35" spans="1:9" ht="31.5" x14ac:dyDescent="0.25">
      <c r="A35" s="29" t="s">
        <v>8</v>
      </c>
      <c r="B35" s="15">
        <f>B36+B41+B46+B51+B56+B58+B60+B62</f>
        <v>11946.089327149835</v>
      </c>
      <c r="C35" s="15">
        <f t="shared" ref="C35:D35" si="2">C36+C41+C46+C51+C56+C58+C60+C62</f>
        <v>143353.07192579802</v>
      </c>
      <c r="D35" s="15">
        <f t="shared" si="2"/>
        <v>143353.07192579802</v>
      </c>
      <c r="E35" s="15">
        <f>E36+E41+E46+E51+E56+E58+E60+E62</f>
        <v>0</v>
      </c>
      <c r="F35" s="15">
        <f t="shared" si="1"/>
        <v>143353.07192579802</v>
      </c>
      <c r="G35" s="23">
        <f>тариф!C12</f>
        <v>11946.089327149835</v>
      </c>
      <c r="H35" s="105"/>
    </row>
    <row r="36" spans="1:9" ht="31.5" customHeight="1" x14ac:dyDescent="0.25">
      <c r="A36" s="31" t="s">
        <v>9</v>
      </c>
      <c r="B36" s="35">
        <f>G36</f>
        <v>2227.8403200000002</v>
      </c>
      <c r="C36" s="35">
        <f>B36*12</f>
        <v>26734.083840000003</v>
      </c>
      <c r="D36" s="35">
        <f>B36*12</f>
        <v>26734.083840000003</v>
      </c>
      <c r="E36" s="35">
        <f>SUM(E37:E40)</f>
        <v>0</v>
      </c>
      <c r="F36" s="15">
        <f t="shared" si="1"/>
        <v>26734.083840000003</v>
      </c>
      <c r="G36" s="22">
        <f>тариф!C13</f>
        <v>2227.8403200000002</v>
      </c>
      <c r="H36" s="106" t="s">
        <v>142</v>
      </c>
      <c r="I36" s="1" t="s">
        <v>143</v>
      </c>
    </row>
    <row r="37" spans="1:9" ht="15.75" x14ac:dyDescent="0.25">
      <c r="A37" s="37" t="s">
        <v>36</v>
      </c>
      <c r="B37" s="35"/>
      <c r="C37" s="35"/>
      <c r="D37" s="35"/>
      <c r="E37" s="35">
        <v>0</v>
      </c>
      <c r="F37" s="15"/>
      <c r="G37" s="22">
        <f>H40+I40</f>
        <v>977.93040148621822</v>
      </c>
      <c r="H37" s="1">
        <v>22182</v>
      </c>
      <c r="I37" s="1">
        <v>22182</v>
      </c>
    </row>
    <row r="38" spans="1:9" ht="15.75" x14ac:dyDescent="0.25">
      <c r="A38" s="37" t="s">
        <v>37</v>
      </c>
      <c r="B38" s="35"/>
      <c r="C38" s="35"/>
      <c r="D38" s="35"/>
      <c r="E38" s="35">
        <v>0</v>
      </c>
      <c r="F38" s="15"/>
      <c r="G38" s="22">
        <f>G37*0.302</f>
        <v>295.33498124883789</v>
      </c>
      <c r="H38" s="86">
        <f>'ТХ МКД'!B14/325</f>
        <v>0.11076923076923077</v>
      </c>
      <c r="I38" s="86">
        <f>('ТХ МКД'!B7+'ТХ МКД'!B28*0.5)*0.01631/1000</f>
        <v>5.1918807500000004E-2</v>
      </c>
    </row>
    <row r="39" spans="1:9" ht="15.75" x14ac:dyDescent="0.25">
      <c r="A39" s="37" t="s">
        <v>38</v>
      </c>
      <c r="B39" s="35"/>
      <c r="C39" s="35"/>
      <c r="D39" s="35"/>
      <c r="E39" s="35">
        <v>0</v>
      </c>
      <c r="F39" s="15"/>
      <c r="G39" s="22">
        <f>G36-G37-G38</f>
        <v>954.57493726494408</v>
      </c>
      <c r="H39" s="86">
        <f>H38*0.312746</f>
        <v>3.4642633846153847E-2</v>
      </c>
      <c r="I39" s="19">
        <f>I38*0.1819</f>
        <v>9.4440310842500014E-3</v>
      </c>
    </row>
    <row r="40" spans="1:9" ht="15.75" x14ac:dyDescent="0.25">
      <c r="A40" s="37" t="s">
        <v>0</v>
      </c>
      <c r="B40" s="35"/>
      <c r="C40" s="35"/>
      <c r="D40" s="35"/>
      <c r="E40" s="35">
        <v>0</v>
      </c>
      <c r="F40" s="15"/>
      <c r="G40" s="22"/>
      <c r="H40" s="104">
        <f>H37*H39</f>
        <v>768.44290397538464</v>
      </c>
      <c r="I40" s="104">
        <f>I37*I39</f>
        <v>209.48749751083352</v>
      </c>
    </row>
    <row r="41" spans="1:9" ht="15.75" x14ac:dyDescent="0.25">
      <c r="A41" s="31" t="s">
        <v>10</v>
      </c>
      <c r="B41" s="35">
        <f>G41</f>
        <v>353.94848000000002</v>
      </c>
      <c r="C41" s="35">
        <f>B41*12</f>
        <v>4247.3817600000002</v>
      </c>
      <c r="D41" s="35">
        <f>B41*12</f>
        <v>4247.3817600000002</v>
      </c>
      <c r="E41" s="35">
        <f>SUM(E42:E45)</f>
        <v>0</v>
      </c>
      <c r="F41" s="15">
        <f t="shared" si="1"/>
        <v>4247.3817600000002</v>
      </c>
      <c r="G41" s="22">
        <f>тариф!C14</f>
        <v>353.94848000000002</v>
      </c>
      <c r="H41" s="1" t="s">
        <v>142</v>
      </c>
      <c r="I41" s="1" t="s">
        <v>143</v>
      </c>
    </row>
    <row r="42" spans="1:9" ht="15.75" x14ac:dyDescent="0.25">
      <c r="A42" s="37" t="s">
        <v>36</v>
      </c>
      <c r="B42" s="35"/>
      <c r="C42" s="35"/>
      <c r="D42" s="35"/>
      <c r="E42" s="35">
        <v>0</v>
      </c>
      <c r="F42" s="15"/>
      <c r="G42" s="22">
        <f>H45</f>
        <v>566.15418625769223</v>
      </c>
      <c r="H42" s="1">
        <v>22182</v>
      </c>
      <c r="I42" s="1">
        <v>22182</v>
      </c>
    </row>
    <row r="43" spans="1:9" ht="15.75" x14ac:dyDescent="0.25">
      <c r="A43" s="37" t="s">
        <v>37</v>
      </c>
      <c r="B43" s="35"/>
      <c r="C43" s="35"/>
      <c r="D43" s="35"/>
      <c r="E43" s="35">
        <v>0</v>
      </c>
      <c r="F43" s="15"/>
      <c r="G43" s="22">
        <f>G42*0.302</f>
        <v>170.97856424982305</v>
      </c>
      <c r="H43" s="86">
        <f>('ТХ МКД'!B7+'ТХ МКД'!B28*0.5)/39000</f>
        <v>8.162179487179487E-2</v>
      </c>
    </row>
    <row r="44" spans="1:9" ht="15.75" x14ac:dyDescent="0.25">
      <c r="A44" s="37" t="s">
        <v>38</v>
      </c>
      <c r="B44" s="35"/>
      <c r="C44" s="35"/>
      <c r="D44" s="35"/>
      <c r="E44" s="35">
        <v>0</v>
      </c>
      <c r="F44" s="15"/>
      <c r="G44" s="22"/>
      <c r="H44" s="86">
        <f>H43*0.3127</f>
        <v>2.5523135256410253E-2</v>
      </c>
    </row>
    <row r="45" spans="1:9" ht="15.75" x14ac:dyDescent="0.25">
      <c r="A45" s="37" t="s">
        <v>0</v>
      </c>
      <c r="B45" s="35"/>
      <c r="C45" s="35"/>
      <c r="D45" s="35"/>
      <c r="E45" s="35">
        <v>0</v>
      </c>
      <c r="F45" s="15"/>
      <c r="G45" s="22"/>
      <c r="H45" s="104">
        <f>H42*H44</f>
        <v>566.15418625769223</v>
      </c>
    </row>
    <row r="46" spans="1:9" ht="15.75" x14ac:dyDescent="0.25">
      <c r="A46" s="31" t="s">
        <v>11</v>
      </c>
      <c r="B46" s="35">
        <f>G46</f>
        <v>567.83392000000003</v>
      </c>
      <c r="C46" s="35">
        <f>B46*12</f>
        <v>6814.0070400000004</v>
      </c>
      <c r="D46" s="35">
        <f>B46*12</f>
        <v>6814.0070400000004</v>
      </c>
      <c r="E46" s="35">
        <f>SUM(E47:E50)</f>
        <v>0</v>
      </c>
      <c r="F46" s="15">
        <f t="shared" si="1"/>
        <v>6814.0070400000004</v>
      </c>
      <c r="G46" s="22">
        <f>тариф!C15</f>
        <v>567.83392000000003</v>
      </c>
      <c r="H46" s="1" t="s">
        <v>144</v>
      </c>
    </row>
    <row r="47" spans="1:9" ht="15.75" x14ac:dyDescent="0.25">
      <c r="A47" s="37" t="s">
        <v>36</v>
      </c>
      <c r="B47" s="35"/>
      <c r="C47" s="35"/>
      <c r="D47" s="35"/>
      <c r="E47" s="35">
        <v>0</v>
      </c>
      <c r="F47" s="15"/>
      <c r="G47" s="22">
        <f>H49</f>
        <v>337.36</v>
      </c>
      <c r="H47" s="1">
        <v>21085</v>
      </c>
    </row>
    <row r="48" spans="1:9" ht="15.75" x14ac:dyDescent="0.25">
      <c r="A48" s="37" t="s">
        <v>37</v>
      </c>
      <c r="B48" s="35"/>
      <c r="C48" s="35"/>
      <c r="D48" s="35"/>
      <c r="E48" s="35">
        <v>0</v>
      </c>
      <c r="F48" s="15"/>
      <c r="G48" s="22">
        <f>G47*0.302</f>
        <v>101.88272000000001</v>
      </c>
      <c r="H48" s="86">
        <f>'ТХ МКД'!B16/2250</f>
        <v>1.6E-2</v>
      </c>
    </row>
    <row r="49" spans="1:8" ht="15.75" x14ac:dyDescent="0.25">
      <c r="A49" s="37" t="s">
        <v>38</v>
      </c>
      <c r="B49" s="35"/>
      <c r="C49" s="35"/>
      <c r="D49" s="35"/>
      <c r="E49" s="35">
        <v>0</v>
      </c>
      <c r="F49" s="15"/>
      <c r="G49" s="22">
        <f>G46-G47-G48</f>
        <v>128.59120000000001</v>
      </c>
      <c r="H49" s="104">
        <f>H47*H48</f>
        <v>337.36</v>
      </c>
    </row>
    <row r="50" spans="1:8" ht="15.75" x14ac:dyDescent="0.25">
      <c r="A50" s="37" t="s">
        <v>0</v>
      </c>
      <c r="B50" s="35"/>
      <c r="C50" s="35"/>
      <c r="D50" s="35"/>
      <c r="E50" s="35">
        <v>0</v>
      </c>
      <c r="F50" s="15"/>
      <c r="G50" s="22"/>
    </row>
    <row r="51" spans="1:8" ht="31.5" customHeight="1" x14ac:dyDescent="0.25">
      <c r="A51" s="32" t="s">
        <v>12</v>
      </c>
      <c r="B51" s="35">
        <f>G51</f>
        <v>167.99583999999999</v>
      </c>
      <c r="C51" s="35">
        <f>B51*12</f>
        <v>2015.9500799999998</v>
      </c>
      <c r="D51" s="35">
        <f>B51*12</f>
        <v>2015.9500799999998</v>
      </c>
      <c r="E51" s="35">
        <f>SUM(E52:E55)</f>
        <v>0</v>
      </c>
      <c r="F51" s="15">
        <f t="shared" si="1"/>
        <v>2015.9500799999998</v>
      </c>
      <c r="G51" s="22">
        <f>тариф!C16</f>
        <v>167.99583999999999</v>
      </c>
      <c r="H51" s="1" t="s">
        <v>145</v>
      </c>
    </row>
    <row r="52" spans="1:8" ht="15.75" x14ac:dyDescent="0.25">
      <c r="A52" s="37" t="s">
        <v>74</v>
      </c>
      <c r="B52" s="35"/>
      <c r="C52" s="35"/>
      <c r="D52" s="35"/>
      <c r="E52" s="35"/>
      <c r="F52" s="15"/>
      <c r="G52" s="22">
        <f>H55</f>
        <v>186.72875999999999</v>
      </c>
      <c r="H52" s="1">
        <v>21085</v>
      </c>
    </row>
    <row r="53" spans="1:8" ht="15.75" x14ac:dyDescent="0.25">
      <c r="A53" s="37" t="s">
        <v>37</v>
      </c>
      <c r="B53" s="35"/>
      <c r="C53" s="35"/>
      <c r="D53" s="35"/>
      <c r="E53" s="35"/>
      <c r="F53" s="15"/>
      <c r="G53" s="22">
        <f>G52*0.302</f>
        <v>56.392085519999995</v>
      </c>
      <c r="H53" s="1">
        <f>'ТХ МКД'!B12/1250</f>
        <v>2.8799999999999999E-2</v>
      </c>
    </row>
    <row r="54" spans="1:8" ht="15.75" x14ac:dyDescent="0.25">
      <c r="A54" s="37" t="s">
        <v>38</v>
      </c>
      <c r="B54" s="35"/>
      <c r="C54" s="35"/>
      <c r="D54" s="35"/>
      <c r="E54" s="35"/>
      <c r="F54" s="15"/>
      <c r="G54" s="22"/>
      <c r="H54" s="86">
        <f>H53*0.3075</f>
        <v>8.8559999999999993E-3</v>
      </c>
    </row>
    <row r="55" spans="1:8" ht="15.75" x14ac:dyDescent="0.25">
      <c r="A55" s="37" t="s">
        <v>0</v>
      </c>
      <c r="B55" s="35"/>
      <c r="C55" s="35"/>
      <c r="D55" s="35"/>
      <c r="E55" s="35"/>
      <c r="F55" s="15"/>
      <c r="G55" s="22"/>
      <c r="H55" s="104">
        <f>H52*H54</f>
        <v>186.72875999999999</v>
      </c>
    </row>
    <row r="56" spans="1:8" ht="31.5" x14ac:dyDescent="0.25">
      <c r="A56" s="31" t="s">
        <v>13</v>
      </c>
      <c r="B56" s="35">
        <f>B57</f>
        <v>6077.3791999999994</v>
      </c>
      <c r="C56" s="35">
        <f t="shared" ref="C56:C71" si="3">B56*12</f>
        <v>72928.550399999993</v>
      </c>
      <c r="D56" s="35">
        <f>B56*12</f>
        <v>72928.550399999993</v>
      </c>
      <c r="E56" s="35">
        <f>E57</f>
        <v>0</v>
      </c>
      <c r="F56" s="15">
        <f>D56-E56</f>
        <v>72928.550399999993</v>
      </c>
      <c r="G56" s="22">
        <f>тариф!C17</f>
        <v>6077.3791999999994</v>
      </c>
    </row>
    <row r="57" spans="1:8" ht="15.75" x14ac:dyDescent="0.25">
      <c r="A57" s="38" t="s">
        <v>84</v>
      </c>
      <c r="B57" s="35">
        <f>G56</f>
        <v>6077.3791999999994</v>
      </c>
      <c r="C57" s="35">
        <f>B57*12</f>
        <v>72928.550399999993</v>
      </c>
      <c r="D57" s="35">
        <f>B57*12</f>
        <v>72928.550399999993</v>
      </c>
      <c r="E57" s="35"/>
      <c r="F57" s="15"/>
      <c r="G57" s="22"/>
    </row>
    <row r="58" spans="1:8" ht="15.75" x14ac:dyDescent="0.25">
      <c r="A58" s="31" t="s">
        <v>75</v>
      </c>
      <c r="B58" s="35">
        <f>B59</f>
        <v>2003.0101271498359</v>
      </c>
      <c r="C58" s="35">
        <f t="shared" si="3"/>
        <v>24036.121525798029</v>
      </c>
      <c r="D58" s="35">
        <f>B58*12</f>
        <v>24036.121525798029</v>
      </c>
      <c r="E58" s="35">
        <f>E59</f>
        <v>0</v>
      </c>
      <c r="F58" s="15">
        <f t="shared" si="1"/>
        <v>24036.121525798029</v>
      </c>
      <c r="G58" s="22">
        <f>тариф!C18+тариф!C19</f>
        <v>2003.0101271498359</v>
      </c>
    </row>
    <row r="59" spans="1:8" ht="19.5" customHeight="1" x14ac:dyDescent="0.25">
      <c r="A59" s="38" t="s">
        <v>150</v>
      </c>
      <c r="B59" s="35">
        <f>G58</f>
        <v>2003.0101271498359</v>
      </c>
      <c r="C59" s="35"/>
      <c r="D59" s="35"/>
      <c r="E59" s="35"/>
      <c r="F59" s="15"/>
      <c r="G59" s="22"/>
    </row>
    <row r="60" spans="1:8" ht="15.75" hidden="1" x14ac:dyDescent="0.25">
      <c r="A60" s="31" t="s">
        <v>15</v>
      </c>
      <c r="B60" s="35">
        <f>B61</f>
        <v>0</v>
      </c>
      <c r="C60" s="35">
        <f t="shared" si="3"/>
        <v>0</v>
      </c>
      <c r="D60" s="35">
        <f t="shared" ref="D60:D61" si="4">B60*6</f>
        <v>0</v>
      </c>
      <c r="E60" s="35"/>
      <c r="F60" s="15">
        <f t="shared" si="1"/>
        <v>0</v>
      </c>
      <c r="G60" s="22"/>
    </row>
    <row r="61" spans="1:8" ht="31.5" hidden="1" x14ac:dyDescent="0.25">
      <c r="A61" s="38" t="s">
        <v>41</v>
      </c>
      <c r="B61" s="35"/>
      <c r="C61" s="35">
        <f t="shared" si="3"/>
        <v>0</v>
      </c>
      <c r="D61" s="35">
        <f t="shared" si="4"/>
        <v>0</v>
      </c>
      <c r="E61" s="35"/>
      <c r="F61" s="15">
        <f t="shared" si="1"/>
        <v>0</v>
      </c>
      <c r="G61" s="22"/>
    </row>
    <row r="62" spans="1:8" ht="31.5" customHeight="1" x14ac:dyDescent="0.25">
      <c r="A62" s="32" t="s">
        <v>16</v>
      </c>
      <c r="B62" s="35">
        <f>B63</f>
        <v>548.08144000000004</v>
      </c>
      <c r="C62" s="35">
        <f t="shared" si="3"/>
        <v>6576.977280000001</v>
      </c>
      <c r="D62" s="35">
        <f>B62*12</f>
        <v>6576.977280000001</v>
      </c>
      <c r="E62" s="35">
        <f>E63</f>
        <v>0</v>
      </c>
      <c r="F62" s="15">
        <f t="shared" si="1"/>
        <v>6576.977280000001</v>
      </c>
      <c r="G62" s="22">
        <f>тариф!C20</f>
        <v>548.08144000000004</v>
      </c>
    </row>
    <row r="63" spans="1:8" ht="33" customHeight="1" x14ac:dyDescent="0.25">
      <c r="A63" s="39" t="s">
        <v>40</v>
      </c>
      <c r="B63" s="35">
        <f>G62</f>
        <v>548.08144000000004</v>
      </c>
      <c r="C63" s="35"/>
      <c r="D63" s="35"/>
      <c r="E63" s="35"/>
      <c r="F63" s="15"/>
      <c r="G63" s="22"/>
    </row>
    <row r="64" spans="1:8" ht="31.5" x14ac:dyDescent="0.25">
      <c r="A64" s="29" t="s">
        <v>17</v>
      </c>
      <c r="B64" s="16">
        <f>B65+B66+B71+B72+B77+B79</f>
        <v>10943.472479999999</v>
      </c>
      <c r="C64" s="16">
        <f t="shared" ref="C64:E64" si="5">C65+C66+C71+C72+C77+C79</f>
        <v>131321.66975999999</v>
      </c>
      <c r="D64" s="16">
        <f t="shared" si="5"/>
        <v>131321.66975999999</v>
      </c>
      <c r="E64" s="16">
        <f t="shared" si="5"/>
        <v>0</v>
      </c>
      <c r="F64" s="15">
        <f t="shared" si="1"/>
        <v>131321.66975999999</v>
      </c>
      <c r="G64" s="22"/>
      <c r="H64" s="27"/>
    </row>
    <row r="65" spans="1:8" ht="15.75" x14ac:dyDescent="0.25">
      <c r="A65" s="31" t="s">
        <v>18</v>
      </c>
      <c r="B65" s="47">
        <v>0</v>
      </c>
      <c r="C65" s="35">
        <f t="shared" si="3"/>
        <v>0</v>
      </c>
      <c r="D65" s="35">
        <f>B65*12</f>
        <v>0</v>
      </c>
      <c r="E65" s="35">
        <v>0</v>
      </c>
      <c r="F65" s="15">
        <f t="shared" si="1"/>
        <v>0</v>
      </c>
      <c r="G65" s="22"/>
    </row>
    <row r="66" spans="1:8" ht="31.5" customHeight="1" x14ac:dyDescent="0.25">
      <c r="A66" s="31" t="s">
        <v>19</v>
      </c>
      <c r="B66" s="35">
        <f>SUM(B67:B70)</f>
        <v>3157.404</v>
      </c>
      <c r="C66" s="35">
        <f>B66*12</f>
        <v>37888.847999999998</v>
      </c>
      <c r="D66" s="35">
        <f>B66*12</f>
        <v>37888.847999999998</v>
      </c>
      <c r="E66" s="35">
        <f>SUM(E67:E70)</f>
        <v>0</v>
      </c>
      <c r="F66" s="15">
        <f t="shared" si="1"/>
        <v>37888.847999999998</v>
      </c>
      <c r="G66" s="22">
        <f>тариф!C23</f>
        <v>3157.404</v>
      </c>
      <c r="H66" s="1" t="s">
        <v>146</v>
      </c>
    </row>
    <row r="67" spans="1:8" ht="15.75" x14ac:dyDescent="0.25">
      <c r="A67" s="37" t="s">
        <v>148</v>
      </c>
      <c r="B67" s="35">
        <f>G67</f>
        <v>2083.5676190476188</v>
      </c>
      <c r="C67" s="35">
        <f t="shared" ref="C67:C69" si="6">B67*12</f>
        <v>25002.811428571425</v>
      </c>
      <c r="D67" s="35">
        <f>B67*12</f>
        <v>25002.811428571425</v>
      </c>
      <c r="E67" s="35"/>
      <c r="F67" s="15"/>
      <c r="G67" s="22">
        <f>H69</f>
        <v>2083.5676190476188</v>
      </c>
      <c r="H67" s="1">
        <v>12188</v>
      </c>
    </row>
    <row r="68" spans="1:8" ht="15.75" x14ac:dyDescent="0.25">
      <c r="A68" s="37" t="s">
        <v>37</v>
      </c>
      <c r="B68" s="35">
        <f t="shared" ref="B68:B69" si="7">G68</f>
        <v>629.23742095238083</v>
      </c>
      <c r="C68" s="35">
        <f t="shared" si="6"/>
        <v>7550.8490514285695</v>
      </c>
      <c r="D68" s="35">
        <f>B68*12</f>
        <v>7550.8490514285695</v>
      </c>
      <c r="E68" s="35"/>
      <c r="F68" s="15"/>
      <c r="G68" s="22">
        <f>G67*0.302</f>
        <v>629.23742095238083</v>
      </c>
      <c r="H68" s="107">
        <f>'ТХ МКД'!B30/5250</f>
        <v>0.17095238095238094</v>
      </c>
    </row>
    <row r="69" spans="1:8" ht="15.75" x14ac:dyDescent="0.25">
      <c r="A69" s="37" t="s">
        <v>38</v>
      </c>
      <c r="B69" s="35">
        <f t="shared" si="7"/>
        <v>444.59896000000037</v>
      </c>
      <c r="C69" s="35">
        <f t="shared" si="6"/>
        <v>5335.187520000005</v>
      </c>
      <c r="D69" s="35">
        <f>B69*12</f>
        <v>5335.187520000005</v>
      </c>
      <c r="E69" s="35"/>
      <c r="F69" s="15"/>
      <c r="G69" s="22">
        <f>G66-G67-G68</f>
        <v>444.59896000000037</v>
      </c>
      <c r="H69" s="104">
        <f>H67*H68</f>
        <v>2083.5676190476188</v>
      </c>
    </row>
    <row r="70" spans="1:8" ht="15.75" x14ac:dyDescent="0.25">
      <c r="A70" s="37" t="s">
        <v>0</v>
      </c>
      <c r="B70" s="35"/>
      <c r="C70" s="35"/>
      <c r="D70" s="35"/>
      <c r="E70" s="35"/>
      <c r="F70" s="15"/>
      <c r="G70" s="22"/>
    </row>
    <row r="71" spans="1:8" ht="15.75" x14ac:dyDescent="0.25">
      <c r="A71" s="31" t="s">
        <v>20</v>
      </c>
      <c r="B71" s="35">
        <v>0</v>
      </c>
      <c r="C71" s="35">
        <f t="shared" si="3"/>
        <v>0</v>
      </c>
      <c r="D71" s="35">
        <f>B71*12</f>
        <v>0</v>
      </c>
      <c r="E71" s="35">
        <v>0</v>
      </c>
      <c r="F71" s="15"/>
      <c r="G71" s="22"/>
    </row>
    <row r="72" spans="1:8" ht="15.75" x14ac:dyDescent="0.25">
      <c r="A72" s="31" t="s">
        <v>21</v>
      </c>
      <c r="B72" s="35">
        <f>SUM(B73:B76)</f>
        <v>3729.4278399999994</v>
      </c>
      <c r="C72" s="35">
        <f>B72*12</f>
        <v>44753.134079999989</v>
      </c>
      <c r="D72" s="35">
        <f>B72*12</f>
        <v>44753.134079999989</v>
      </c>
      <c r="E72" s="35">
        <f>SUM(E73:E76)</f>
        <v>0</v>
      </c>
      <c r="F72" s="15">
        <f t="shared" si="1"/>
        <v>44753.134079999989</v>
      </c>
      <c r="G72" s="22">
        <f>тариф!C25</f>
        <v>3729.4278399999998</v>
      </c>
      <c r="H72" s="1" t="s">
        <v>147</v>
      </c>
    </row>
    <row r="73" spans="1:8" ht="31.5" x14ac:dyDescent="0.25">
      <c r="A73" s="37" t="s">
        <v>149</v>
      </c>
      <c r="B73" s="35">
        <f>G73</f>
        <v>2506.5886792452829</v>
      </c>
      <c r="C73" s="35">
        <f t="shared" ref="C73:C75" si="8">B73*12</f>
        <v>30079.064150943395</v>
      </c>
      <c r="D73" s="35">
        <f>B73*12</f>
        <v>30079.064150943395</v>
      </c>
      <c r="E73" s="35"/>
      <c r="F73" s="15"/>
      <c r="G73" s="22">
        <f>H75</f>
        <v>2506.5886792452829</v>
      </c>
      <c r="H73" s="1">
        <v>12188</v>
      </c>
    </row>
    <row r="74" spans="1:8" ht="15.75" x14ac:dyDescent="0.25">
      <c r="A74" s="37" t="s">
        <v>37</v>
      </c>
      <c r="B74" s="35">
        <f>B73*0.302</f>
        <v>756.98978113207545</v>
      </c>
      <c r="C74" s="35">
        <f t="shared" si="8"/>
        <v>9083.8773735849063</v>
      </c>
      <c r="D74" s="35">
        <f>B74*12</f>
        <v>9083.8773735849063</v>
      </c>
      <c r="E74" s="35"/>
      <c r="F74" s="15"/>
      <c r="G74" s="22">
        <f>G73*0.302</f>
        <v>756.98978113207545</v>
      </c>
      <c r="H74" s="86">
        <f>'ТХ МКД'!B18/530</f>
        <v>0.20566037735849058</v>
      </c>
    </row>
    <row r="75" spans="1:8" ht="15.75" x14ac:dyDescent="0.25">
      <c r="A75" s="37" t="s">
        <v>38</v>
      </c>
      <c r="B75" s="35">
        <f>G72-B74-B73</f>
        <v>465.84937962264121</v>
      </c>
      <c r="C75" s="35">
        <f t="shared" si="8"/>
        <v>5590.1925554716945</v>
      </c>
      <c r="D75" s="35">
        <f>B75*12</f>
        <v>5590.1925554716945</v>
      </c>
      <c r="E75" s="35"/>
      <c r="F75" s="15"/>
      <c r="G75" s="22">
        <f>G72-G73-G74</f>
        <v>465.84937962264144</v>
      </c>
      <c r="H75" s="104">
        <f>H73*H74</f>
        <v>2506.5886792452829</v>
      </c>
    </row>
    <row r="76" spans="1:8" ht="15.75" x14ac:dyDescent="0.25">
      <c r="A76" s="37" t="s">
        <v>0</v>
      </c>
      <c r="B76" s="35"/>
      <c r="C76" s="35"/>
      <c r="D76" s="35"/>
      <c r="E76" s="35"/>
      <c r="F76" s="15"/>
      <c r="G76" s="22"/>
    </row>
    <row r="77" spans="1:8" ht="33.75" customHeight="1" x14ac:dyDescent="0.25">
      <c r="A77" s="31" t="s">
        <v>22</v>
      </c>
      <c r="B77" s="35">
        <f>B78</f>
        <v>913.80160000000001</v>
      </c>
      <c r="C77" s="35">
        <f t="shared" ref="C77:C85" si="9">B77*12</f>
        <v>10965.619200000001</v>
      </c>
      <c r="D77" s="35">
        <f>B77*12</f>
        <v>10965.619200000001</v>
      </c>
      <c r="E77" s="35">
        <f>E78</f>
        <v>0</v>
      </c>
      <c r="F77" s="15">
        <f t="shared" ref="F77:F117" si="10">D77-E77</f>
        <v>10965.619200000001</v>
      </c>
      <c r="G77" s="22">
        <f>тариф!C26</f>
        <v>913.80160000000001</v>
      </c>
    </row>
    <row r="78" spans="1:8" ht="33" customHeight="1" x14ac:dyDescent="0.25">
      <c r="A78" s="38" t="s">
        <v>40</v>
      </c>
      <c r="B78" s="35">
        <f>G77</f>
        <v>913.80160000000001</v>
      </c>
      <c r="C78" s="35">
        <f t="shared" si="9"/>
        <v>10965.619200000001</v>
      </c>
      <c r="D78" s="35">
        <f>B78*12</f>
        <v>10965.619200000001</v>
      </c>
      <c r="E78" s="35"/>
      <c r="F78" s="15"/>
      <c r="G78" s="22"/>
    </row>
    <row r="79" spans="1:8" ht="18" customHeight="1" x14ac:dyDescent="0.25">
      <c r="A79" s="31" t="s">
        <v>23</v>
      </c>
      <c r="B79" s="35">
        <f>G79</f>
        <v>3142.8390399999998</v>
      </c>
      <c r="C79" s="35">
        <f t="shared" si="9"/>
        <v>37714.068480000002</v>
      </c>
      <c r="D79" s="35">
        <f>B79*12</f>
        <v>37714.068480000002</v>
      </c>
      <c r="E79" s="35">
        <f>SUM(E80:E83)</f>
        <v>0</v>
      </c>
      <c r="F79" s="15">
        <f t="shared" si="10"/>
        <v>37714.068480000002</v>
      </c>
      <c r="G79" s="22">
        <f>тариф!C27</f>
        <v>3142.8390399999998</v>
      </c>
    </row>
    <row r="80" spans="1:8" ht="15.75" x14ac:dyDescent="0.25">
      <c r="A80" s="37" t="s">
        <v>36</v>
      </c>
      <c r="B80" s="35"/>
      <c r="C80" s="35"/>
      <c r="D80" s="35"/>
      <c r="E80" s="35"/>
      <c r="F80" s="15"/>
      <c r="G80" s="22"/>
    </row>
    <row r="81" spans="1:7" ht="15.75" x14ac:dyDescent="0.25">
      <c r="A81" s="37" t="s">
        <v>37</v>
      </c>
      <c r="B81" s="35"/>
      <c r="C81" s="35"/>
      <c r="D81" s="35"/>
      <c r="E81" s="35"/>
      <c r="F81" s="15"/>
      <c r="G81" s="22"/>
    </row>
    <row r="82" spans="1:7" ht="15.75" x14ac:dyDescent="0.25">
      <c r="A82" s="37" t="s">
        <v>38</v>
      </c>
      <c r="B82" s="35"/>
      <c r="C82" s="35"/>
      <c r="D82" s="35"/>
      <c r="E82" s="35"/>
      <c r="F82" s="15"/>
      <c r="G82" s="22"/>
    </row>
    <row r="83" spans="1:7" ht="15.75" x14ac:dyDescent="0.25">
      <c r="A83" s="37" t="s">
        <v>0</v>
      </c>
      <c r="B83" s="35"/>
      <c r="C83" s="35"/>
      <c r="D83" s="35"/>
      <c r="E83" s="35"/>
      <c r="F83" s="15"/>
      <c r="G83" s="22"/>
    </row>
    <row r="84" spans="1:7" ht="15.75" hidden="1" x14ac:dyDescent="0.25">
      <c r="A84" s="29" t="s">
        <v>24</v>
      </c>
      <c r="B84" s="15"/>
      <c r="C84" s="15">
        <f t="shared" si="9"/>
        <v>0</v>
      </c>
      <c r="D84" s="35">
        <f t="shared" ref="D84" si="11">B84*6</f>
        <v>0</v>
      </c>
      <c r="E84" s="15"/>
      <c r="F84" s="15">
        <f t="shared" si="10"/>
        <v>0</v>
      </c>
      <c r="G84" s="22"/>
    </row>
    <row r="85" spans="1:7" ht="31.5" x14ac:dyDescent="0.25">
      <c r="A85" s="29" t="s">
        <v>80</v>
      </c>
      <c r="B85" s="15">
        <f>тариф!C28+тариф!C29</f>
        <v>8908.9670399999995</v>
      </c>
      <c r="C85" s="15">
        <f t="shared" si="9"/>
        <v>106907.60447999999</v>
      </c>
      <c r="D85" s="15">
        <f>B85*12</f>
        <v>106907.60447999999</v>
      </c>
      <c r="E85" s="15">
        <f>E86+E97</f>
        <v>0</v>
      </c>
      <c r="F85" s="15">
        <f t="shared" si="10"/>
        <v>106907.60447999999</v>
      </c>
      <c r="G85" s="22">
        <f>тариф!C28+тариф!C29</f>
        <v>8908.9670399999995</v>
      </c>
    </row>
    <row r="86" spans="1:7" ht="17.25" customHeight="1" x14ac:dyDescent="0.25">
      <c r="A86" s="69" t="s">
        <v>70</v>
      </c>
      <c r="B86" s="15"/>
      <c r="C86" s="15"/>
      <c r="D86" s="35"/>
      <c r="E86" s="15">
        <f>SUM(E87:E96)</f>
        <v>0</v>
      </c>
      <c r="F86" s="15"/>
      <c r="G86" s="22"/>
    </row>
    <row r="87" spans="1:7" ht="25.5" x14ac:dyDescent="0.25">
      <c r="A87" s="70" t="s">
        <v>85</v>
      </c>
      <c r="B87" s="15"/>
      <c r="C87" s="15"/>
      <c r="D87" s="35"/>
      <c r="E87" s="35"/>
      <c r="F87" s="15"/>
      <c r="G87" s="50"/>
    </row>
    <row r="88" spans="1:7" ht="15.75" x14ac:dyDescent="0.25">
      <c r="A88" s="70" t="s">
        <v>37</v>
      </c>
      <c r="B88" s="15"/>
      <c r="C88" s="15"/>
      <c r="D88" s="35"/>
      <c r="E88" s="35"/>
      <c r="F88" s="15"/>
      <c r="G88" s="50"/>
    </row>
    <row r="89" spans="1:7" ht="15.75" x14ac:dyDescent="0.25">
      <c r="A89" s="70" t="s">
        <v>50</v>
      </c>
      <c r="B89" s="15"/>
      <c r="C89" s="15"/>
      <c r="D89" s="35"/>
      <c r="E89" s="35"/>
      <c r="F89" s="15"/>
      <c r="G89" s="50"/>
    </row>
    <row r="90" spans="1:7" ht="15.75" x14ac:dyDescent="0.25">
      <c r="A90" s="70" t="s">
        <v>51</v>
      </c>
      <c r="B90" s="15"/>
      <c r="C90" s="15"/>
      <c r="D90" s="35"/>
      <c r="E90" s="35"/>
      <c r="F90" s="15"/>
      <c r="G90" s="50"/>
    </row>
    <row r="91" spans="1:7" ht="15.75" x14ac:dyDescent="0.25">
      <c r="A91" s="70" t="s">
        <v>76</v>
      </c>
      <c r="B91" s="15"/>
      <c r="C91" s="15"/>
      <c r="D91" s="35"/>
      <c r="E91" s="35"/>
      <c r="F91" s="15"/>
      <c r="G91" s="50"/>
    </row>
    <row r="92" spans="1:7" ht="15.75" x14ac:dyDescent="0.25">
      <c r="A92" s="70" t="s">
        <v>52</v>
      </c>
      <c r="B92" s="15"/>
      <c r="C92" s="15"/>
      <c r="D92" s="35"/>
      <c r="E92" s="35"/>
      <c r="F92" s="15"/>
      <c r="G92" s="50"/>
    </row>
    <row r="93" spans="1:7" ht="15.75" x14ac:dyDescent="0.25">
      <c r="A93" s="70" t="s">
        <v>77</v>
      </c>
      <c r="B93" s="15"/>
      <c r="C93" s="15"/>
      <c r="D93" s="35"/>
      <c r="E93" s="35"/>
      <c r="F93" s="15"/>
      <c r="G93" s="50"/>
    </row>
    <row r="94" spans="1:7" ht="15.75" x14ac:dyDescent="0.25">
      <c r="A94" s="70" t="s">
        <v>53</v>
      </c>
      <c r="B94" s="15"/>
      <c r="C94" s="15"/>
      <c r="D94" s="35"/>
      <c r="E94" s="35"/>
      <c r="F94" s="15"/>
      <c r="G94" s="50"/>
    </row>
    <row r="95" spans="1:7" ht="15.75" x14ac:dyDescent="0.25">
      <c r="A95" s="70" t="s">
        <v>54</v>
      </c>
      <c r="B95" s="15"/>
      <c r="C95" s="15"/>
      <c r="D95" s="35"/>
      <c r="E95" s="35"/>
      <c r="F95" s="15"/>
      <c r="G95" s="50"/>
    </row>
    <row r="96" spans="1:7" ht="15.75" x14ac:dyDescent="0.25">
      <c r="A96" s="70" t="s">
        <v>0</v>
      </c>
      <c r="B96" s="15"/>
      <c r="C96" s="15"/>
      <c r="D96" s="35"/>
      <c r="E96" s="35"/>
      <c r="F96" s="15"/>
      <c r="G96" s="50"/>
    </row>
    <row r="97" spans="1:7" ht="17.25" customHeight="1" x14ac:dyDescent="0.25">
      <c r="A97" s="69" t="s">
        <v>71</v>
      </c>
      <c r="B97" s="15"/>
      <c r="C97" s="15"/>
      <c r="D97" s="35"/>
      <c r="E97" s="15">
        <f>E98+E99+E100+E108+E112+E115+E116</f>
        <v>0</v>
      </c>
      <c r="F97" s="15"/>
      <c r="G97" s="22"/>
    </row>
    <row r="98" spans="1:7" ht="30" x14ac:dyDescent="0.25">
      <c r="A98" s="71" t="s">
        <v>86</v>
      </c>
      <c r="B98" s="15"/>
      <c r="C98" s="15"/>
      <c r="D98" s="35"/>
      <c r="E98" s="35"/>
      <c r="F98" s="15"/>
      <c r="G98" s="50"/>
    </row>
    <row r="99" spans="1:7" ht="15.75" x14ac:dyDescent="0.25">
      <c r="A99" s="71" t="s">
        <v>37</v>
      </c>
      <c r="B99" s="15"/>
      <c r="C99" s="15"/>
      <c r="D99" s="35"/>
      <c r="E99" s="35"/>
      <c r="F99" s="15"/>
      <c r="G99" s="50"/>
    </row>
    <row r="100" spans="1:7" ht="30" x14ac:dyDescent="0.25">
      <c r="A100" s="71" t="s">
        <v>55</v>
      </c>
      <c r="B100" s="15"/>
      <c r="C100" s="15"/>
      <c r="D100" s="35"/>
      <c r="E100" s="35"/>
      <c r="F100" s="15"/>
      <c r="G100" s="50"/>
    </row>
    <row r="101" spans="1:7" ht="15.75" x14ac:dyDescent="0.25">
      <c r="A101" s="72" t="s">
        <v>56</v>
      </c>
      <c r="B101" s="15"/>
      <c r="C101" s="15"/>
      <c r="D101" s="35"/>
      <c r="E101" s="35"/>
      <c r="F101" s="15"/>
      <c r="G101" s="50"/>
    </row>
    <row r="102" spans="1:7" ht="15.75" x14ac:dyDescent="0.25">
      <c r="A102" s="72" t="s">
        <v>57</v>
      </c>
      <c r="B102" s="15"/>
      <c r="C102" s="15"/>
      <c r="D102" s="35"/>
      <c r="E102" s="35"/>
      <c r="F102" s="15"/>
      <c r="G102" s="50"/>
    </row>
    <row r="103" spans="1:7" ht="15.75" x14ac:dyDescent="0.25">
      <c r="A103" s="72" t="s">
        <v>58</v>
      </c>
      <c r="B103" s="15"/>
      <c r="C103" s="15"/>
      <c r="D103" s="35"/>
      <c r="E103" s="35"/>
      <c r="F103" s="15"/>
      <c r="G103" s="50"/>
    </row>
    <row r="104" spans="1:7" ht="15.75" x14ac:dyDescent="0.25">
      <c r="A104" s="72" t="s">
        <v>59</v>
      </c>
      <c r="B104" s="15"/>
      <c r="C104" s="15"/>
      <c r="D104" s="35"/>
      <c r="E104" s="35"/>
      <c r="F104" s="15"/>
      <c r="G104" s="50"/>
    </row>
    <row r="105" spans="1:7" ht="15.75" x14ac:dyDescent="0.25">
      <c r="A105" s="72" t="s">
        <v>60</v>
      </c>
      <c r="B105" s="15"/>
      <c r="C105" s="15"/>
      <c r="D105" s="35"/>
      <c r="E105" s="35"/>
      <c r="F105" s="15"/>
      <c r="G105" s="50"/>
    </row>
    <row r="106" spans="1:7" ht="15.75" x14ac:dyDescent="0.25">
      <c r="A106" s="72" t="s">
        <v>61</v>
      </c>
      <c r="B106" s="15"/>
      <c r="C106" s="15"/>
      <c r="D106" s="35"/>
      <c r="E106" s="35"/>
      <c r="F106" s="15"/>
      <c r="G106" s="50"/>
    </row>
    <row r="107" spans="1:7" ht="15.75" x14ac:dyDescent="0.25">
      <c r="A107" s="72" t="s">
        <v>62</v>
      </c>
      <c r="B107" s="15"/>
      <c r="C107" s="15"/>
      <c r="D107" s="35"/>
      <c r="E107" s="35"/>
      <c r="F107" s="15"/>
      <c r="G107" s="50"/>
    </row>
    <row r="108" spans="1:7" ht="15.75" x14ac:dyDescent="0.25">
      <c r="A108" s="73" t="s">
        <v>63</v>
      </c>
      <c r="B108" s="15"/>
      <c r="C108" s="15"/>
      <c r="D108" s="35"/>
      <c r="E108" s="35"/>
      <c r="F108" s="15"/>
      <c r="G108" s="50"/>
    </row>
    <row r="109" spans="1:7" ht="15.75" x14ac:dyDescent="0.25">
      <c r="A109" s="72" t="s">
        <v>64</v>
      </c>
      <c r="B109" s="15"/>
      <c r="C109" s="15"/>
      <c r="D109" s="35"/>
      <c r="E109" s="35"/>
      <c r="F109" s="15"/>
      <c r="G109" s="50"/>
    </row>
    <row r="110" spans="1:7" ht="15.75" x14ac:dyDescent="0.25">
      <c r="A110" s="72" t="s">
        <v>65</v>
      </c>
      <c r="B110" s="15"/>
      <c r="C110" s="15"/>
      <c r="D110" s="35"/>
      <c r="E110" s="35"/>
      <c r="F110" s="15"/>
      <c r="G110" s="50"/>
    </row>
    <row r="111" spans="1:7" ht="15.75" x14ac:dyDescent="0.25">
      <c r="A111" s="72" t="s">
        <v>78</v>
      </c>
      <c r="B111" s="15"/>
      <c r="C111" s="15"/>
      <c r="D111" s="35"/>
      <c r="E111" s="35"/>
      <c r="F111" s="15"/>
      <c r="G111" s="50"/>
    </row>
    <row r="112" spans="1:7" ht="15.75" x14ac:dyDescent="0.25">
      <c r="A112" s="73" t="s">
        <v>66</v>
      </c>
      <c r="B112" s="15"/>
      <c r="C112" s="15"/>
      <c r="D112" s="35"/>
      <c r="E112" s="35"/>
      <c r="F112" s="15"/>
      <c r="G112" s="50"/>
    </row>
    <row r="113" spans="1:8" ht="15.75" x14ac:dyDescent="0.25">
      <c r="A113" s="72" t="s">
        <v>67</v>
      </c>
      <c r="B113" s="15"/>
      <c r="C113" s="15"/>
      <c r="D113" s="35"/>
      <c r="E113" s="35"/>
      <c r="F113" s="15"/>
      <c r="G113" s="50"/>
    </row>
    <row r="114" spans="1:8" ht="25.5" x14ac:dyDescent="0.25">
      <c r="A114" s="72" t="s">
        <v>79</v>
      </c>
      <c r="B114" s="15"/>
      <c r="C114" s="15"/>
      <c r="D114" s="35"/>
      <c r="E114" s="35"/>
      <c r="F114" s="15"/>
      <c r="G114" s="50"/>
    </row>
    <row r="115" spans="1:8" ht="15.75" x14ac:dyDescent="0.25">
      <c r="A115" s="73" t="s">
        <v>68</v>
      </c>
      <c r="B115" s="15"/>
      <c r="C115" s="15"/>
      <c r="D115" s="35"/>
      <c r="E115" s="35"/>
      <c r="F115" s="15"/>
      <c r="G115" s="50"/>
    </row>
    <row r="116" spans="1:8" ht="16.5" customHeight="1" x14ac:dyDescent="0.25">
      <c r="A116" s="73" t="s">
        <v>69</v>
      </c>
      <c r="B116" s="15"/>
      <c r="C116" s="15"/>
      <c r="D116" s="35"/>
      <c r="E116" s="35"/>
      <c r="F116" s="15"/>
      <c r="G116" s="50"/>
    </row>
    <row r="117" spans="1:8" ht="18" customHeight="1" x14ac:dyDescent="0.25">
      <c r="A117" s="33" t="s">
        <v>35</v>
      </c>
      <c r="B117" s="17">
        <f>B85+B84+B64+B35+B9</f>
        <v>33001.035887149832</v>
      </c>
      <c r="C117" s="17">
        <f>C85+C84+C64+C35+C9</f>
        <v>396012.43064579804</v>
      </c>
      <c r="D117" s="17">
        <f>D85+D84+D64+D35+D9</f>
        <v>396012.43064579804</v>
      </c>
      <c r="E117" s="17">
        <f>E85+E84+E64+E35+E9</f>
        <v>0</v>
      </c>
      <c r="F117" s="15">
        <f t="shared" si="10"/>
        <v>396012.43064579804</v>
      </c>
      <c r="G117" s="52"/>
      <c r="H117" s="17">
        <v>30151.506310000001</v>
      </c>
    </row>
    <row r="118" spans="1:8" ht="16.5" customHeight="1" x14ac:dyDescent="0.25">
      <c r="A118" s="29" t="s">
        <v>27</v>
      </c>
      <c r="B118" s="28">
        <f>тариф!B31</f>
        <v>1995.2</v>
      </c>
      <c r="C118" s="28">
        <v>1994.6</v>
      </c>
      <c r="D118" s="28">
        <f>тариф!B31</f>
        <v>1995.2</v>
      </c>
      <c r="E118" s="28">
        <f>тариф!B31</f>
        <v>1995.2</v>
      </c>
      <c r="F118" s="54"/>
      <c r="G118" s="14"/>
    </row>
    <row r="119" spans="1:8" ht="15.75" x14ac:dyDescent="0.25">
      <c r="A119" s="40" t="s">
        <v>39</v>
      </c>
      <c r="B119" s="41">
        <f>B117/B118</f>
        <v>16.540214458274775</v>
      </c>
      <c r="C119" s="41">
        <f>C117/C118/12</f>
        <v>16.545189956457353</v>
      </c>
      <c r="D119" s="41">
        <f>D117/D118/12</f>
        <v>16.540214458274779</v>
      </c>
      <c r="E119" s="41"/>
      <c r="F119" s="43"/>
      <c r="G119" s="19"/>
    </row>
    <row r="120" spans="1:8" ht="15.75" x14ac:dyDescent="0.25">
      <c r="A120" s="42"/>
      <c r="B120" s="49"/>
      <c r="C120" s="49"/>
      <c r="D120" s="49"/>
      <c r="E120" s="49"/>
      <c r="F120" s="49"/>
      <c r="G120" s="19"/>
    </row>
    <row r="121" spans="1:8" ht="15.75" hidden="1" x14ac:dyDescent="0.25">
      <c r="A121" s="42"/>
      <c r="B121" s="49"/>
      <c r="C121" s="49"/>
      <c r="D121" s="49"/>
      <c r="E121" s="49"/>
      <c r="F121" s="49"/>
      <c r="G121" s="19"/>
    </row>
    <row r="122" spans="1:8" ht="18.75" hidden="1" x14ac:dyDescent="0.3">
      <c r="A122" s="45" t="s">
        <v>48</v>
      </c>
      <c r="B122" s="1" t="s">
        <v>32</v>
      </c>
      <c r="C122" s="46" t="s">
        <v>49</v>
      </c>
      <c r="D122" s="46"/>
      <c r="E122" s="46"/>
      <c r="F122" s="46"/>
      <c r="G122" s="1"/>
    </row>
    <row r="123" spans="1:8" ht="15.75" x14ac:dyDescent="0.25">
      <c r="A123" s="30"/>
      <c r="B123" s="48"/>
      <c r="C123" s="48"/>
      <c r="D123" s="48"/>
      <c r="E123" s="48"/>
      <c r="F123" s="48"/>
    </row>
    <row r="124" spans="1:8" ht="15.75" x14ac:dyDescent="0.25">
      <c r="A124" s="13" t="s">
        <v>31</v>
      </c>
      <c r="B124" s="44" t="s">
        <v>46</v>
      </c>
      <c r="C124" s="44" t="s">
        <v>33</v>
      </c>
      <c r="E124" s="44" t="s">
        <v>33</v>
      </c>
      <c r="F124" s="44"/>
    </row>
    <row r="125" spans="1:8" ht="15.75" x14ac:dyDescent="0.25">
      <c r="A125" s="30"/>
      <c r="B125" s="48"/>
      <c r="C125" s="48"/>
      <c r="D125" s="48"/>
      <c r="E125" s="48"/>
      <c r="F125" s="48"/>
    </row>
  </sheetData>
  <mergeCells count="4">
    <mergeCell ref="A3:F3"/>
    <mergeCell ref="B4:F4"/>
    <mergeCell ref="A5:A7"/>
    <mergeCell ref="B5:D5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opLeftCell="E1" zoomScaleNormal="100" workbookViewId="0">
      <selection activeCell="F67" sqref="F67"/>
    </sheetView>
  </sheetViews>
  <sheetFormatPr defaultRowHeight="15" x14ac:dyDescent="0.25"/>
  <cols>
    <col min="1" max="1" width="59.7109375" style="1" customWidth="1"/>
    <col min="2" max="2" width="14.28515625" style="2" customWidth="1"/>
    <col min="3" max="3" width="13.7109375" style="2" customWidth="1"/>
    <col min="4" max="4" width="14.710937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8.5" customHeight="1" x14ac:dyDescent="0.25">
      <c r="A1" s="68" t="s">
        <v>47</v>
      </c>
      <c r="B1" s="48"/>
      <c r="C1" s="48"/>
      <c r="D1" s="48"/>
      <c r="E1" s="48"/>
    </row>
    <row r="2" spans="1:10" ht="30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53" t="s">
        <v>92</v>
      </c>
      <c r="B3" s="153"/>
      <c r="C3" s="153"/>
      <c r="D3" s="153"/>
      <c r="E3" s="153"/>
      <c r="F3" s="20"/>
    </row>
    <row r="4" spans="1:10" ht="22.5" customHeight="1" x14ac:dyDescent="0.25">
      <c r="A4" s="57" t="s">
        <v>1</v>
      </c>
      <c r="B4" s="162" t="str">
        <f>тариф!B2</f>
        <v>РЕЧНАЯ, 4Б</v>
      </c>
      <c r="C4" s="161"/>
      <c r="D4" s="161"/>
      <c r="E4" s="163"/>
      <c r="F4" s="25"/>
    </row>
    <row r="5" spans="1:10" ht="20.25" customHeight="1" x14ac:dyDescent="0.25">
      <c r="A5" s="155" t="s">
        <v>30</v>
      </c>
      <c r="B5" s="158" t="s">
        <v>44</v>
      </c>
      <c r="C5" s="159"/>
      <c r="D5" s="51" t="s">
        <v>45</v>
      </c>
      <c r="E5" s="51" t="s">
        <v>72</v>
      </c>
    </row>
    <row r="6" spans="1:10" ht="18" customHeight="1" x14ac:dyDescent="0.25">
      <c r="A6" s="156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57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/>
      <c r="D8" s="56">
        <v>4</v>
      </c>
      <c r="E8" s="56">
        <v>5</v>
      </c>
      <c r="F8" s="21"/>
    </row>
    <row r="9" spans="1:10" ht="17.25" customHeight="1" x14ac:dyDescent="0.25">
      <c r="A9" s="29" t="s">
        <v>2</v>
      </c>
      <c r="B9" s="15">
        <f>B10+B15+B20+B25+B30</f>
        <v>1202.3196400000002</v>
      </c>
      <c r="C9" s="15">
        <f>C10+C15+C20+C25+C30</f>
        <v>14427.83568</v>
      </c>
      <c r="D9" s="15">
        <f t="shared" ref="D9" si="0">D10+D15+D20+D25+D30</f>
        <v>0</v>
      </c>
      <c r="E9" s="15">
        <f>C9-D9</f>
        <v>14427.83568</v>
      </c>
      <c r="F9" s="23">
        <f>тариф!C5</f>
        <v>1202.50704</v>
      </c>
      <c r="G9" s="23"/>
    </row>
    <row r="10" spans="1:10" ht="63.75" customHeight="1" x14ac:dyDescent="0.25">
      <c r="A10" s="31" t="s">
        <v>3</v>
      </c>
      <c r="B10" s="35">
        <f>F10</f>
        <v>121.88227999999999</v>
      </c>
      <c r="C10" s="35">
        <f>B10*12</f>
        <v>1462.58736</v>
      </c>
      <c r="D10" s="35">
        <f>SUM(D11:D14)</f>
        <v>0</v>
      </c>
      <c r="E10" s="15">
        <f>C10-D10</f>
        <v>1462.58736</v>
      </c>
      <c r="F10" s="22">
        <f>тариф!E6</f>
        <v>121.88227999999999</v>
      </c>
      <c r="G10" s="1" t="s">
        <v>134</v>
      </c>
      <c r="H10" s="1" t="s">
        <v>135</v>
      </c>
    </row>
    <row r="11" spans="1:10" ht="17.25" customHeight="1" x14ac:dyDescent="0.25">
      <c r="A11" s="36" t="s">
        <v>36</v>
      </c>
      <c r="B11" s="35"/>
      <c r="C11" s="35"/>
      <c r="D11" s="35">
        <v>0</v>
      </c>
      <c r="E11" s="15"/>
      <c r="F11" s="22">
        <f>G14+H14</f>
        <v>123.07762169730123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/>
      <c r="D12" s="35">
        <v>0</v>
      </c>
      <c r="E12" s="15"/>
      <c r="F12" s="22">
        <f>F11*0.302</f>
        <v>37.169441752584966</v>
      </c>
      <c r="G12" s="86">
        <f>('ТХ МКД'!B7+'ТХ МКД'!B28*0.5)*0.0111/1000</f>
        <v>3.5334075E-2</v>
      </c>
      <c r="H12" s="86">
        <f>('ТХ МКД'!B7+'ТХ МКД'!B28*0.5)*0.00539/1000</f>
        <v>1.7157717499999999E-2</v>
      </c>
      <c r="I12" s="102"/>
    </row>
    <row r="13" spans="1:10" ht="14.25" customHeight="1" x14ac:dyDescent="0.25">
      <c r="A13" s="36" t="s">
        <v>38</v>
      </c>
      <c r="B13" s="35"/>
      <c r="C13" s="35"/>
      <c r="D13" s="35">
        <v>0</v>
      </c>
      <c r="E13" s="15"/>
      <c r="F13" s="22">
        <f>F10-F11-F12</f>
        <v>-38.364783449886197</v>
      </c>
      <c r="G13" s="86">
        <f>G12*0.109</f>
        <v>3.8514141749999998E-3</v>
      </c>
      <c r="H13" s="86">
        <f>H12*0.1339</f>
        <v>2.2974183732499998E-3</v>
      </c>
    </row>
    <row r="14" spans="1:10" ht="14.25" customHeight="1" x14ac:dyDescent="0.25">
      <c r="A14" s="36" t="s">
        <v>0</v>
      </c>
      <c r="B14" s="35"/>
      <c r="C14" s="35"/>
      <c r="D14" s="35">
        <v>0</v>
      </c>
      <c r="E14" s="15"/>
      <c r="F14" s="22"/>
      <c r="G14" s="103">
        <f>G11*G13</f>
        <v>74.636555297324989</v>
      </c>
      <c r="H14" s="103">
        <f>H11*H13</f>
        <v>48.441066399976243</v>
      </c>
    </row>
    <row r="15" spans="1:10" ht="33.75" customHeight="1" x14ac:dyDescent="0.25">
      <c r="A15" s="31" t="s">
        <v>4</v>
      </c>
      <c r="B15" s="35">
        <f>F15</f>
        <v>593.45299999999997</v>
      </c>
      <c r="C15" s="35">
        <f>B15*12</f>
        <v>7121.4359999999997</v>
      </c>
      <c r="D15" s="35">
        <f>SUM(D16:D19)</f>
        <v>0</v>
      </c>
      <c r="E15" s="15">
        <f>C15-D15</f>
        <v>7121.4359999999997</v>
      </c>
      <c r="F15" s="22">
        <f>тариф!E7</f>
        <v>593.45299999999997</v>
      </c>
      <c r="G15" s="1" t="s">
        <v>136</v>
      </c>
      <c r="H15" s="1" t="s">
        <v>137</v>
      </c>
      <c r="I15" s="1" t="s">
        <v>138</v>
      </c>
    </row>
    <row r="16" spans="1:10" ht="14.25" customHeight="1" x14ac:dyDescent="0.25">
      <c r="A16" s="37" t="s">
        <v>36</v>
      </c>
      <c r="B16" s="35"/>
      <c r="C16" s="35"/>
      <c r="D16" s="35">
        <v>0</v>
      </c>
      <c r="E16" s="15"/>
      <c r="F16" s="22">
        <f>G19+H19</f>
        <v>439.50665721067878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37" t="s">
        <v>37</v>
      </c>
      <c r="B17" s="35"/>
      <c r="C17" s="35"/>
      <c r="D17" s="35">
        <v>0</v>
      </c>
      <c r="E17" s="15"/>
      <c r="F17" s="22">
        <f>F16*0.302</f>
        <v>132.73101047762498</v>
      </c>
      <c r="G17" s="86">
        <f>('ТХ МКД'!B7+'ТХ МКД'!B28*0.5)*0.0018/1000</f>
        <v>5.7298499999999999E-3</v>
      </c>
      <c r="H17" s="86">
        <f>('ТХ МКД'!B7+'ТХ МКД'!B28*0.5)*0.02295/1000</f>
        <v>7.3055587500000005E-2</v>
      </c>
      <c r="I17" s="86">
        <f>('ТХ МКД'!B7+'ТХ МКД'!B28*0.5)*0.02295/1000</f>
        <v>7.3055587500000005E-2</v>
      </c>
    </row>
    <row r="18" spans="1:9" ht="14.25" customHeight="1" x14ac:dyDescent="0.25">
      <c r="A18" s="37" t="s">
        <v>38</v>
      </c>
      <c r="B18" s="35"/>
      <c r="C18" s="35"/>
      <c r="D18" s="35">
        <v>0</v>
      </c>
      <c r="E18" s="15"/>
      <c r="F18" s="22">
        <f>F15-F16-F17</f>
        <v>21.215332311696216</v>
      </c>
      <c r="G18" s="86">
        <f>G17*0.5079</f>
        <v>2.9101908150000002E-3</v>
      </c>
      <c r="H18" s="86">
        <f>H17*0.2671</f>
        <v>1.9513147421250002E-2</v>
      </c>
      <c r="I18" s="18"/>
    </row>
    <row r="19" spans="1:9" ht="14.25" customHeight="1" x14ac:dyDescent="0.25">
      <c r="A19" s="37" t="s">
        <v>0</v>
      </c>
      <c r="B19" s="35"/>
      <c r="C19" s="35"/>
      <c r="D19" s="35">
        <v>0</v>
      </c>
      <c r="E19" s="15"/>
      <c r="F19" s="22"/>
      <c r="G19" s="103">
        <f>G16*G18</f>
        <v>61.361373334275001</v>
      </c>
      <c r="H19" s="103">
        <f>H16*H18</f>
        <v>378.14528387640377</v>
      </c>
      <c r="I19" s="104">
        <f>I18/2</f>
        <v>0</v>
      </c>
    </row>
    <row r="20" spans="1:9" ht="48.75" customHeight="1" x14ac:dyDescent="0.25">
      <c r="A20" s="31" t="s">
        <v>5</v>
      </c>
      <c r="B20" s="35">
        <f>F20</f>
        <v>57.051279999999998</v>
      </c>
      <c r="C20" s="35">
        <f>B20*12</f>
        <v>684.61536000000001</v>
      </c>
      <c r="D20" s="35">
        <f>SUM(D21:D24)</f>
        <v>0</v>
      </c>
      <c r="E20" s="15">
        <f>C20-D20</f>
        <v>684.61536000000001</v>
      </c>
      <c r="F20" s="22">
        <f>тариф!E8</f>
        <v>57.051279999999998</v>
      </c>
      <c r="G20" s="1" t="s">
        <v>139</v>
      </c>
    </row>
    <row r="21" spans="1:9" ht="15.75" x14ac:dyDescent="0.25">
      <c r="A21" s="37" t="s">
        <v>36</v>
      </c>
      <c r="B21" s="35"/>
      <c r="C21" s="35"/>
      <c r="D21" s="35">
        <v>0</v>
      </c>
      <c r="E21" s="15"/>
      <c r="F21" s="22">
        <f>G24/2</f>
        <v>32.648357399784004</v>
      </c>
      <c r="G21" s="1">
        <v>19379</v>
      </c>
    </row>
    <row r="22" spans="1:9" ht="15.75" x14ac:dyDescent="0.25">
      <c r="A22" s="37" t="s">
        <v>37</v>
      </c>
      <c r="B22" s="35"/>
      <c r="C22" s="35"/>
      <c r="D22" s="35">
        <v>0</v>
      </c>
      <c r="E22" s="15"/>
      <c r="F22" s="22">
        <f>F21*0.302</f>
        <v>9.859803934734769</v>
      </c>
      <c r="G22" s="86">
        <f>('ТХ МКД'!B7+'ТХ МКД'!B28*0.5)*0.00888/1000</f>
        <v>2.8267260000000002E-2</v>
      </c>
    </row>
    <row r="23" spans="1:9" ht="15.75" x14ac:dyDescent="0.25">
      <c r="A23" s="37" t="s">
        <v>38</v>
      </c>
      <c r="B23" s="35"/>
      <c r="C23" s="35"/>
      <c r="D23" s="35">
        <v>0</v>
      </c>
      <c r="E23" s="15"/>
      <c r="F23" s="22">
        <f>F20-F21-F22</f>
        <v>14.543118665481225</v>
      </c>
      <c r="G23" s="86">
        <f>G22*0.1192</f>
        <v>3.3694573920000003E-3</v>
      </c>
      <c r="H23" s="2"/>
    </row>
    <row r="24" spans="1:9" ht="15.75" x14ac:dyDescent="0.25">
      <c r="A24" s="37" t="s">
        <v>0</v>
      </c>
      <c r="B24" s="35"/>
      <c r="C24" s="35"/>
      <c r="D24" s="35">
        <v>0</v>
      </c>
      <c r="E24" s="15"/>
      <c r="F24" s="22"/>
      <c r="G24" s="103">
        <f>G21*G23</f>
        <v>65.296714799568008</v>
      </c>
    </row>
    <row r="25" spans="1:9" ht="15.75" x14ac:dyDescent="0.25">
      <c r="A25" s="31" t="s">
        <v>6</v>
      </c>
      <c r="B25" s="35">
        <f>F25</f>
        <v>162.17723999999998</v>
      </c>
      <c r="C25" s="35">
        <f>B25*12</f>
        <v>1946.1268799999998</v>
      </c>
      <c r="D25" s="35">
        <f>SUM(D26:D29)</f>
        <v>0</v>
      </c>
      <c r="E25" s="15">
        <f>C25-D25</f>
        <v>1946.1268799999998</v>
      </c>
      <c r="F25" s="22">
        <f>тариф!E9</f>
        <v>162.17723999999998</v>
      </c>
      <c r="G25" s="1" t="s">
        <v>140</v>
      </c>
    </row>
    <row r="26" spans="1:9" ht="15.75" x14ac:dyDescent="0.25">
      <c r="A26" s="37" t="s">
        <v>36</v>
      </c>
      <c r="B26" s="35"/>
      <c r="C26" s="35"/>
      <c r="D26" s="35">
        <v>0</v>
      </c>
      <c r="E26" s="15"/>
      <c r="F26" s="22">
        <f>G28</f>
        <v>99.785471720000004</v>
      </c>
      <c r="G26" s="1">
        <v>12188</v>
      </c>
    </row>
    <row r="27" spans="1:9" ht="15.75" x14ac:dyDescent="0.25">
      <c r="A27" s="37" t="s">
        <v>37</v>
      </c>
      <c r="B27" s="35"/>
      <c r="C27" s="35"/>
      <c r="D27" s="35">
        <v>0</v>
      </c>
      <c r="E27" s="15"/>
      <c r="F27" s="22">
        <f>F26*0.302</f>
        <v>30.135212459440002</v>
      </c>
      <c r="G27" s="86">
        <f>'ТХ МКД'!B27*0.0263/1000</f>
        <v>8.1871900000000004E-3</v>
      </c>
    </row>
    <row r="28" spans="1:9" ht="15.75" x14ac:dyDescent="0.25">
      <c r="A28" s="37" t="s">
        <v>38</v>
      </c>
      <c r="B28" s="35"/>
      <c r="C28" s="35"/>
      <c r="D28" s="35">
        <v>0</v>
      </c>
      <c r="E28" s="15"/>
      <c r="F28" s="22">
        <f>F25-F26-F27</f>
        <v>32.256555820559981</v>
      </c>
      <c r="G28" s="103">
        <f>G26*G27</f>
        <v>99.785471720000004</v>
      </c>
      <c r="H28" s="2"/>
    </row>
    <row r="29" spans="1:9" ht="15.75" x14ac:dyDescent="0.25">
      <c r="A29" s="37" t="s">
        <v>0</v>
      </c>
      <c r="B29" s="35"/>
      <c r="C29" s="35"/>
      <c r="D29" s="35">
        <v>0</v>
      </c>
      <c r="E29" s="15"/>
      <c r="F29" s="108"/>
    </row>
    <row r="30" spans="1:9" ht="31.5" x14ac:dyDescent="0.25">
      <c r="A30" s="31" t="s">
        <v>7</v>
      </c>
      <c r="B30" s="35">
        <f>F30</f>
        <v>267.75584000000003</v>
      </c>
      <c r="C30" s="35">
        <f>B30*12</f>
        <v>3213.0700800000004</v>
      </c>
      <c r="D30" s="35">
        <f>SUM(D31:D34)</f>
        <v>0</v>
      </c>
      <c r="E30" s="15">
        <f>C30-D30</f>
        <v>3213.0700800000004</v>
      </c>
      <c r="F30" s="22">
        <f>тариф!C10</f>
        <v>267.75584000000003</v>
      </c>
      <c r="G30" s="1" t="s">
        <v>141</v>
      </c>
    </row>
    <row r="31" spans="1:9" ht="15.75" x14ac:dyDescent="0.25">
      <c r="A31" s="37" t="s">
        <v>36</v>
      </c>
      <c r="B31" s="35"/>
      <c r="C31" s="35"/>
      <c r="D31" s="35"/>
      <c r="E31" s="15"/>
      <c r="F31" s="22">
        <f>G34</f>
        <v>69.949854704519993</v>
      </c>
      <c r="G31" s="1">
        <v>19379</v>
      </c>
    </row>
    <row r="32" spans="1:9" ht="15.75" x14ac:dyDescent="0.25">
      <c r="A32" s="37" t="s">
        <v>37</v>
      </c>
      <c r="B32" s="35"/>
      <c r="C32" s="35"/>
      <c r="D32" s="35"/>
      <c r="E32" s="15"/>
      <c r="F32" s="22">
        <f>F31*0.302</f>
        <v>21.124856120765038</v>
      </c>
      <c r="G32" s="86">
        <f>'ТХ МКД'!B21/1000*0.0763</f>
        <v>2.3347800000000002E-2</v>
      </c>
    </row>
    <row r="33" spans="1:8" ht="15.75" customHeight="1" x14ac:dyDescent="0.25">
      <c r="A33" s="37" t="s">
        <v>83</v>
      </c>
      <c r="B33" s="35"/>
      <c r="C33" s="35"/>
      <c r="D33" s="35"/>
      <c r="E33" s="15"/>
      <c r="F33" s="22">
        <f>F30-F31-F32</f>
        <v>176.68112917471501</v>
      </c>
      <c r="G33" s="86">
        <f>G32*0.1546</f>
        <v>3.6095698799999999E-3</v>
      </c>
      <c r="H33" s="2"/>
    </row>
    <row r="34" spans="1:8" ht="15.75" x14ac:dyDescent="0.25">
      <c r="A34" s="37" t="s">
        <v>0</v>
      </c>
      <c r="B34" s="35"/>
      <c r="C34" s="35"/>
      <c r="D34" s="35"/>
      <c r="E34" s="15"/>
      <c r="F34" s="22"/>
      <c r="G34" s="103">
        <f>G31*G33</f>
        <v>69.949854704519993</v>
      </c>
    </row>
    <row r="35" spans="1:8" ht="31.5" x14ac:dyDescent="0.25">
      <c r="A35" s="29" t="s">
        <v>8</v>
      </c>
      <c r="B35" s="15">
        <f>B36+B41+B46+B51+B56+B58+B60+B62</f>
        <v>11748.374599999999</v>
      </c>
      <c r="C35" s="15">
        <f t="shared" ref="C35" si="1">C36+C41+C46+C51+C56+C58+C60+C62</f>
        <v>140980.4952</v>
      </c>
      <c r="D35" s="15">
        <f>D36+D41+D46+D51+D56+D58+D60+D62</f>
        <v>0</v>
      </c>
      <c r="E35" s="15">
        <f>C35-D35</f>
        <v>140980.4952</v>
      </c>
      <c r="F35" s="23">
        <f>тариф!E12</f>
        <v>11748.374599999999</v>
      </c>
      <c r="G35" s="105"/>
    </row>
    <row r="36" spans="1:8" ht="31.5" customHeight="1" x14ac:dyDescent="0.25">
      <c r="A36" s="31" t="s">
        <v>9</v>
      </c>
      <c r="B36" s="35">
        <f>F36</f>
        <v>2227.3936800000001</v>
      </c>
      <c r="C36" s="35">
        <f>B36*12</f>
        <v>26728.724160000002</v>
      </c>
      <c r="D36" s="35">
        <f>SUM(D37:D40)</f>
        <v>0</v>
      </c>
      <c r="E36" s="15">
        <f>C36-D36</f>
        <v>26728.724160000002</v>
      </c>
      <c r="F36" s="22">
        <f>тариф!E13</f>
        <v>2227.3936800000001</v>
      </c>
      <c r="G36" s="106" t="s">
        <v>142</v>
      </c>
      <c r="H36" s="1" t="s">
        <v>143</v>
      </c>
    </row>
    <row r="37" spans="1:8" ht="15.75" x14ac:dyDescent="0.25">
      <c r="A37" s="37" t="s">
        <v>36</v>
      </c>
      <c r="B37" s="35"/>
      <c r="C37" s="35"/>
      <c r="D37" s="35">
        <v>0</v>
      </c>
      <c r="E37" s="15"/>
      <c r="F37" s="22">
        <f>G40+H40</f>
        <v>928.40231207236343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/>
      <c r="D38" s="35">
        <v>0</v>
      </c>
      <c r="E38" s="15"/>
      <c r="F38" s="22">
        <f>F37*0.302</f>
        <v>280.37749824585376</v>
      </c>
      <c r="G38" s="86">
        <f>'ТХ МКД'!B14/325</f>
        <v>0.11076923076923077</v>
      </c>
      <c r="H38" s="86">
        <f>('ТХ МКД'!B8+'ТХ МКД'!B28*0.5)*0.01631/1000</f>
        <v>3.9643901500000009E-2</v>
      </c>
    </row>
    <row r="39" spans="1:8" ht="15.75" x14ac:dyDescent="0.25">
      <c r="A39" s="37" t="s">
        <v>38</v>
      </c>
      <c r="B39" s="35"/>
      <c r="C39" s="35"/>
      <c r="D39" s="35">
        <v>0</v>
      </c>
      <c r="E39" s="15"/>
      <c r="F39" s="22">
        <f>F36-F37-F38</f>
        <v>1018.6138696817829</v>
      </c>
      <c r="G39" s="86">
        <f>G38*0.312746</f>
        <v>3.4642633846153847E-2</v>
      </c>
      <c r="H39" s="19">
        <f>H38*0.1819</f>
        <v>7.2112256828500022E-3</v>
      </c>
    </row>
    <row r="40" spans="1:8" ht="15.75" x14ac:dyDescent="0.25">
      <c r="A40" s="37" t="s">
        <v>0</v>
      </c>
      <c r="B40" s="35"/>
      <c r="C40" s="35"/>
      <c r="D40" s="35">
        <v>0</v>
      </c>
      <c r="E40" s="15"/>
      <c r="F40" s="22"/>
      <c r="G40" s="104">
        <f>G37*G39</f>
        <v>768.44290397538464</v>
      </c>
      <c r="H40" s="104">
        <f>H37*H39</f>
        <v>159.95940809697873</v>
      </c>
    </row>
    <row r="41" spans="1:8" ht="18" customHeight="1" x14ac:dyDescent="0.25">
      <c r="A41" s="31" t="s">
        <v>10</v>
      </c>
      <c r="B41" s="35">
        <f>F41</f>
        <v>353.87752</v>
      </c>
      <c r="C41" s="35">
        <f>B41*12</f>
        <v>4246.53024</v>
      </c>
      <c r="D41" s="35">
        <f>SUM(D42:D45)</f>
        <v>0</v>
      </c>
      <c r="E41" s="15">
        <f>C41-D41</f>
        <v>4246.53024</v>
      </c>
      <c r="F41" s="22">
        <f>тариф!E14</f>
        <v>353.87752</v>
      </c>
      <c r="G41" s="1" t="s">
        <v>142</v>
      </c>
      <c r="H41" s="1" t="s">
        <v>143</v>
      </c>
    </row>
    <row r="42" spans="1:8" ht="15.75" x14ac:dyDescent="0.25">
      <c r="A42" s="37" t="s">
        <v>36</v>
      </c>
      <c r="B42" s="35"/>
      <c r="C42" s="35"/>
      <c r="D42" s="35">
        <v>0</v>
      </c>
      <c r="E42" s="15"/>
      <c r="F42" s="22">
        <f>G45/2.2</f>
        <v>257.34281193531461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/>
      <c r="D43" s="35">
        <v>0</v>
      </c>
      <c r="E43" s="15"/>
      <c r="F43" s="22">
        <f>F42*0.302</f>
        <v>77.717529204465009</v>
      </c>
      <c r="G43" s="86">
        <f>('ТХ МКД'!B7+'ТХ МКД'!B28*0.5)/39000</f>
        <v>8.162179487179487E-2</v>
      </c>
    </row>
    <row r="44" spans="1:8" ht="15.75" x14ac:dyDescent="0.25">
      <c r="A44" s="37" t="s">
        <v>38</v>
      </c>
      <c r="B44" s="35"/>
      <c r="C44" s="35"/>
      <c r="D44" s="35">
        <v>0</v>
      </c>
      <c r="E44" s="15"/>
      <c r="F44" s="22">
        <f>F41-F42-F43</f>
        <v>18.81717886022038</v>
      </c>
      <c r="G44" s="86">
        <f>G43*0.3127</f>
        <v>2.5523135256410253E-2</v>
      </c>
    </row>
    <row r="45" spans="1:8" ht="15.75" x14ac:dyDescent="0.25">
      <c r="A45" s="37" t="s">
        <v>0</v>
      </c>
      <c r="B45" s="35"/>
      <c r="C45" s="35"/>
      <c r="D45" s="35">
        <v>0</v>
      </c>
      <c r="E45" s="15"/>
      <c r="F45" s="22"/>
      <c r="G45" s="104">
        <f>G42*G44</f>
        <v>566.15418625769223</v>
      </c>
    </row>
    <row r="46" spans="1:8" ht="17.25" customHeight="1" x14ac:dyDescent="0.25">
      <c r="A46" s="31" t="s">
        <v>11</v>
      </c>
      <c r="B46" s="35">
        <f>F46</f>
        <v>567.72008000000005</v>
      </c>
      <c r="C46" s="35">
        <f>B46*12</f>
        <v>6812.6409600000006</v>
      </c>
      <c r="D46" s="35">
        <f>SUM(D47:D50)</f>
        <v>0</v>
      </c>
      <c r="E46" s="15">
        <f>C46-D46</f>
        <v>6812.6409600000006</v>
      </c>
      <c r="F46" s="22">
        <f>тариф!E15</f>
        <v>567.72008000000005</v>
      </c>
      <c r="G46" s="1" t="s">
        <v>144</v>
      </c>
    </row>
    <row r="47" spans="1:8" ht="15.75" x14ac:dyDescent="0.25">
      <c r="A47" s="37" t="s">
        <v>36</v>
      </c>
      <c r="B47" s="35"/>
      <c r="C47" s="35"/>
      <c r="D47" s="35">
        <v>0</v>
      </c>
      <c r="E47" s="15"/>
      <c r="F47" s="22">
        <f>G49</f>
        <v>337.36</v>
      </c>
      <c r="G47" s="1">
        <v>21085</v>
      </c>
    </row>
    <row r="48" spans="1:8" ht="15.75" x14ac:dyDescent="0.25">
      <c r="A48" s="37" t="s">
        <v>37</v>
      </c>
      <c r="B48" s="35"/>
      <c r="C48" s="35"/>
      <c r="D48" s="35">
        <v>0</v>
      </c>
      <c r="E48" s="15"/>
      <c r="F48" s="22">
        <f>F47*0.302</f>
        <v>101.88272000000001</v>
      </c>
      <c r="G48" s="86">
        <f>'ТХ МКД'!B16/2250</f>
        <v>1.6E-2</v>
      </c>
    </row>
    <row r="49" spans="1:7" ht="15.75" x14ac:dyDescent="0.25">
      <c r="A49" s="37" t="s">
        <v>38</v>
      </c>
      <c r="B49" s="35"/>
      <c r="C49" s="35"/>
      <c r="D49" s="35">
        <v>0</v>
      </c>
      <c r="E49" s="15"/>
      <c r="F49" s="22">
        <f>F46-F47-F48</f>
        <v>128.47736000000003</v>
      </c>
      <c r="G49" s="104">
        <f>G47*G48</f>
        <v>337.36</v>
      </c>
    </row>
    <row r="50" spans="1:7" ht="15.75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167.96215999999998</v>
      </c>
      <c r="C51" s="35">
        <f>B51*12</f>
        <v>2015.5459199999998</v>
      </c>
      <c r="D51" s="35">
        <f>SUM(D52:D55)</f>
        <v>0</v>
      </c>
      <c r="E51" s="15">
        <f>C51-D51</f>
        <v>2015.5459199999998</v>
      </c>
      <c r="F51" s="22">
        <f>тариф!E16</f>
        <v>167.96215999999998</v>
      </c>
      <c r="G51" s="1" t="s">
        <v>145</v>
      </c>
    </row>
    <row r="52" spans="1:7" ht="15.75" x14ac:dyDescent="0.25">
      <c r="A52" s="37" t="s">
        <v>74</v>
      </c>
      <c r="B52" s="35"/>
      <c r="C52" s="35"/>
      <c r="D52" s="35"/>
      <c r="E52" s="15"/>
      <c r="F52" s="22">
        <f>G55/1.45</f>
        <v>128.7784551724138</v>
      </c>
      <c r="G52" s="1">
        <v>21085</v>
      </c>
    </row>
    <row r="53" spans="1:7" ht="15.75" x14ac:dyDescent="0.25">
      <c r="A53" s="37" t="s">
        <v>37</v>
      </c>
      <c r="B53" s="35"/>
      <c r="C53" s="35"/>
      <c r="D53" s="35"/>
      <c r="E53" s="15"/>
      <c r="F53" s="22">
        <f>F52*0.302</f>
        <v>38.891093462068966</v>
      </c>
      <c r="G53" s="1">
        <f>'ТХ МКД'!B12/1250</f>
        <v>2.8799999999999999E-2</v>
      </c>
    </row>
    <row r="54" spans="1:7" ht="15.75" x14ac:dyDescent="0.25">
      <c r="A54" s="37" t="s">
        <v>38</v>
      </c>
      <c r="B54" s="35"/>
      <c r="C54" s="35"/>
      <c r="D54" s="35"/>
      <c r="E54" s="15"/>
      <c r="F54" s="22"/>
      <c r="G54" s="86">
        <f>G53*0.3075</f>
        <v>8.8559999999999993E-3</v>
      </c>
    </row>
    <row r="55" spans="1:7" ht="15.75" x14ac:dyDescent="0.25">
      <c r="A55" s="37" t="s">
        <v>0</v>
      </c>
      <c r="B55" s="35"/>
      <c r="C55" s="35"/>
      <c r="D55" s="35"/>
      <c r="E55" s="15"/>
      <c r="F55" s="22"/>
      <c r="G55" s="104">
        <f>G52*G54</f>
        <v>186.72875999999999</v>
      </c>
    </row>
    <row r="56" spans="1:7" ht="31.5" x14ac:dyDescent="0.25">
      <c r="A56" s="31" t="s">
        <v>13</v>
      </c>
      <c r="B56" s="35">
        <f>B57</f>
        <v>6076.1607999999997</v>
      </c>
      <c r="C56" s="35">
        <f t="shared" ref="C56:C71" si="2">B56*12</f>
        <v>72913.929600000003</v>
      </c>
      <c r="D56" s="35">
        <f>D57</f>
        <v>0</v>
      </c>
      <c r="E56" s="15">
        <f>C56-D56</f>
        <v>72913.929600000003</v>
      </c>
      <c r="F56" s="22">
        <f>тариф!E17</f>
        <v>6076.1607999999997</v>
      </c>
    </row>
    <row r="57" spans="1:7" ht="15.75" x14ac:dyDescent="0.25">
      <c r="A57" s="38" t="s">
        <v>84</v>
      </c>
      <c r="B57" s="35">
        <f>F56</f>
        <v>6076.1607999999997</v>
      </c>
      <c r="C57" s="35">
        <f>B57*12</f>
        <v>72913.929600000003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1807.2887999999998</v>
      </c>
      <c r="C58" s="35">
        <f t="shared" si="2"/>
        <v>21687.465599999996</v>
      </c>
      <c r="D58" s="35">
        <f>D59</f>
        <v>0</v>
      </c>
      <c r="E58" s="15">
        <f>C58-D58</f>
        <v>21687.465599999996</v>
      </c>
      <c r="F58" s="22">
        <f>тариф!E18+тариф!E19</f>
        <v>1807.2887999999998</v>
      </c>
    </row>
    <row r="59" spans="1:7" ht="18" customHeight="1" x14ac:dyDescent="0.25">
      <c r="A59" s="38" t="s">
        <v>93</v>
      </c>
      <c r="B59" s="35">
        <f>F58</f>
        <v>1807.2887999999998</v>
      </c>
      <c r="C59" s="35"/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 t="e">
        <f>#REF!-D60</f>
        <v>#REF!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 t="e">
        <f>#REF!-D61</f>
        <v>#REF!</v>
      </c>
      <c r="F61" s="22"/>
    </row>
    <row r="62" spans="1:7" ht="19.5" customHeight="1" x14ac:dyDescent="0.25">
      <c r="A62" s="32" t="s">
        <v>16</v>
      </c>
      <c r="B62" s="35">
        <f>B63</f>
        <v>547.97155999999995</v>
      </c>
      <c r="C62" s="35">
        <f t="shared" si="2"/>
        <v>6575.6587199999994</v>
      </c>
      <c r="D62" s="35">
        <f>D63</f>
        <v>0</v>
      </c>
      <c r="E62" s="15">
        <f>C62-D62</f>
        <v>6575.6587199999994</v>
      </c>
      <c r="F62" s="22">
        <f>тариф!E20</f>
        <v>547.97155999999995</v>
      </c>
    </row>
    <row r="63" spans="1:7" ht="18" customHeight="1" x14ac:dyDescent="0.25">
      <c r="A63" s="39" t="s">
        <v>40</v>
      </c>
      <c r="B63" s="35">
        <f>F62</f>
        <v>547.97155999999995</v>
      </c>
      <c r="C63" s="35"/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10941.27852</v>
      </c>
      <c r="C64" s="16">
        <f t="shared" ref="C64:D64" si="3">C65+C66+C71+C72+C77+C79</f>
        <v>131295.34223999997</v>
      </c>
      <c r="D64" s="16">
        <f t="shared" si="3"/>
        <v>0</v>
      </c>
      <c r="E64" s="15">
        <f>C64-D64</f>
        <v>131295.34223999997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ref="E65:E66" si="4">C65-D65</f>
        <v>0</v>
      </c>
      <c r="F65" s="22"/>
    </row>
    <row r="66" spans="1:7" ht="19.5" customHeight="1" x14ac:dyDescent="0.25">
      <c r="A66" s="31" t="s">
        <v>19</v>
      </c>
      <c r="B66" s="35">
        <f>SUM(B67:B70)</f>
        <v>3156.7710000000002</v>
      </c>
      <c r="C66" s="35">
        <f>B66*12</f>
        <v>37881.252</v>
      </c>
      <c r="D66" s="35">
        <f>SUM(D67:D70)</f>
        <v>0</v>
      </c>
      <c r="E66" s="15">
        <f t="shared" si="4"/>
        <v>37881.252</v>
      </c>
      <c r="F66" s="22">
        <f>тариф!E23</f>
        <v>3156.7710000000002</v>
      </c>
      <c r="G66" s="1" t="s">
        <v>146</v>
      </c>
    </row>
    <row r="67" spans="1:7" ht="15.75" x14ac:dyDescent="0.25">
      <c r="A67" s="37" t="s">
        <v>148</v>
      </c>
      <c r="B67" s="35">
        <f>F67</f>
        <v>2083.5676190476188</v>
      </c>
      <c r="C67" s="35">
        <f t="shared" ref="C67:C69" si="5">B67*12</f>
        <v>25002.811428571425</v>
      </c>
      <c r="D67" s="35"/>
      <c r="E67" s="15"/>
      <c r="F67" s="22">
        <f>G69</f>
        <v>2083.5676190476188</v>
      </c>
      <c r="G67" s="1">
        <v>12188</v>
      </c>
    </row>
    <row r="68" spans="1:7" ht="15.75" x14ac:dyDescent="0.25">
      <c r="A68" s="37" t="s">
        <v>37</v>
      </c>
      <c r="B68" s="35">
        <f>B67*0.302</f>
        <v>629.23742095238083</v>
      </c>
      <c r="C68" s="35">
        <f t="shared" si="5"/>
        <v>7550.8490514285695</v>
      </c>
      <c r="D68" s="35"/>
      <c r="E68" s="15"/>
      <c r="F68" s="22">
        <f>F67*0.302</f>
        <v>629.23742095238083</v>
      </c>
      <c r="G68" s="107">
        <f>'ТХ МКД'!B30/5250</f>
        <v>0.17095238095238094</v>
      </c>
    </row>
    <row r="69" spans="1:7" ht="15.75" x14ac:dyDescent="0.25">
      <c r="A69" s="37" t="s">
        <v>38</v>
      </c>
      <c r="B69" s="35">
        <f>F66-B67-B68</f>
        <v>443.96596000000056</v>
      </c>
      <c r="C69" s="35">
        <f t="shared" si="5"/>
        <v>5327.5915200000072</v>
      </c>
      <c r="D69" s="35"/>
      <c r="E69" s="15"/>
      <c r="F69" s="22">
        <f>F66-F67-F68</f>
        <v>443.96596000000056</v>
      </c>
      <c r="G69" s="104">
        <f>G67*G68</f>
        <v>2083.5676190476188</v>
      </c>
    </row>
    <row r="70" spans="1:7" ht="15.75" x14ac:dyDescent="0.25">
      <c r="A70" s="37" t="s">
        <v>0</v>
      </c>
      <c r="B70" s="35"/>
      <c r="C70" s="35"/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3728.6801599999999</v>
      </c>
      <c r="C72" s="35">
        <f>B72*12</f>
        <v>44744.161919999999</v>
      </c>
      <c r="D72" s="35">
        <f>SUM(D73:D76)</f>
        <v>0</v>
      </c>
      <c r="E72" s="15">
        <f>C72-D72</f>
        <v>44744.161919999999</v>
      </c>
      <c r="F72" s="22">
        <f>тариф!E25</f>
        <v>3728.6801599999999</v>
      </c>
      <c r="G72" s="1" t="s">
        <v>147</v>
      </c>
    </row>
    <row r="73" spans="1:7" ht="18" customHeight="1" x14ac:dyDescent="0.25">
      <c r="A73" s="37" t="s">
        <v>149</v>
      </c>
      <c r="B73" s="35">
        <f>F73</f>
        <v>2506.5886792452829</v>
      </c>
      <c r="C73" s="35">
        <f t="shared" ref="C73:C75" si="6">B73*12</f>
        <v>30079.064150943395</v>
      </c>
      <c r="D73" s="35"/>
      <c r="E73" s="15"/>
      <c r="F73" s="22">
        <f>G75</f>
        <v>2506.5886792452829</v>
      </c>
      <c r="G73" s="1">
        <v>12188</v>
      </c>
    </row>
    <row r="74" spans="1:7" ht="15.75" x14ac:dyDescent="0.25">
      <c r="A74" s="37" t="s">
        <v>37</v>
      </c>
      <c r="B74" s="35">
        <f>B73*0.302</f>
        <v>756.98978113207545</v>
      </c>
      <c r="C74" s="35">
        <f t="shared" si="6"/>
        <v>9083.8773735849063</v>
      </c>
      <c r="D74" s="35"/>
      <c r="E74" s="15"/>
      <c r="F74" s="22">
        <f>F73*0.302</f>
        <v>756.98978113207545</v>
      </c>
      <c r="G74" s="86">
        <f>'ТХ МКД'!B18/530</f>
        <v>0.20566037735849058</v>
      </c>
    </row>
    <row r="75" spans="1:7" ht="15.75" x14ac:dyDescent="0.25">
      <c r="A75" s="37" t="s">
        <v>38</v>
      </c>
      <c r="B75" s="35">
        <f>F72-B74-B73</f>
        <v>465.10169962264172</v>
      </c>
      <c r="C75" s="35">
        <f t="shared" si="6"/>
        <v>5581.2203954717006</v>
      </c>
      <c r="D75" s="35"/>
      <c r="E75" s="15"/>
      <c r="F75" s="22">
        <f>F72-F73-F74</f>
        <v>465.10169962264149</v>
      </c>
      <c r="G75" s="104">
        <f>G73*G74</f>
        <v>2506.5886792452829</v>
      </c>
    </row>
    <row r="76" spans="1:7" ht="15.75" x14ac:dyDescent="0.25">
      <c r="A76" s="37" t="s">
        <v>0</v>
      </c>
      <c r="B76" s="35"/>
      <c r="C76" s="35"/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913.61840000000007</v>
      </c>
      <c r="C77" s="35">
        <f t="shared" ref="C77:C85" si="7">B77*12</f>
        <v>10963.4208</v>
      </c>
      <c r="D77" s="35">
        <f>D78</f>
        <v>0</v>
      </c>
      <c r="E77" s="15">
        <f>C77-D77</f>
        <v>10963.4208</v>
      </c>
      <c r="F77" s="22">
        <f>тариф!E26</f>
        <v>913.61840000000007</v>
      </c>
    </row>
    <row r="78" spans="1:7" ht="18" customHeight="1" x14ac:dyDescent="0.25">
      <c r="A78" s="38" t="s">
        <v>40</v>
      </c>
      <c r="B78" s="35">
        <f>F77</f>
        <v>913.61840000000007</v>
      </c>
      <c r="C78" s="35">
        <f t="shared" si="7"/>
        <v>10963.4208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3142.2089599999999</v>
      </c>
      <c r="C79" s="35">
        <f t="shared" si="7"/>
        <v>37706.507519999999</v>
      </c>
      <c r="D79" s="35">
        <f>SUM(D80:D83)</f>
        <v>0</v>
      </c>
      <c r="E79" s="15">
        <f>C79-D79</f>
        <v>37706.507519999999</v>
      </c>
      <c r="F79" s="22">
        <f>тариф!E27</f>
        <v>3142.2089599999999</v>
      </c>
      <c r="G79" s="1">
        <f>1.4468*B119</f>
        <v>2886.6553600000002</v>
      </c>
    </row>
    <row r="80" spans="1:7" ht="15.75" x14ac:dyDescent="0.25">
      <c r="A80" s="37" t="s">
        <v>36</v>
      </c>
      <c r="B80" s="35"/>
      <c r="C80" s="35"/>
      <c r="D80" s="35"/>
      <c r="E80" s="15"/>
      <c r="F80" s="22"/>
    </row>
    <row r="81" spans="1:7" ht="15.75" x14ac:dyDescent="0.25">
      <c r="A81" s="37" t="s">
        <v>37</v>
      </c>
      <c r="B81" s="35"/>
      <c r="C81" s="35"/>
      <c r="D81" s="35"/>
      <c r="E81" s="15"/>
      <c r="F81" s="22"/>
    </row>
    <row r="82" spans="1:7" ht="15.75" x14ac:dyDescent="0.25">
      <c r="A82" s="37" t="s">
        <v>38</v>
      </c>
      <c r="B82" s="35"/>
      <c r="C82" s="35"/>
      <c r="D82" s="35"/>
      <c r="E82" s="15"/>
      <c r="F82" s="22"/>
    </row>
    <row r="83" spans="1:7" ht="15.75" x14ac:dyDescent="0.25">
      <c r="A83" s="37" t="s">
        <v>0</v>
      </c>
      <c r="B83" s="35"/>
      <c r="C83" s="35"/>
      <c r="D83" s="35"/>
      <c r="E83" s="15"/>
      <c r="F83" s="22"/>
    </row>
    <row r="84" spans="1:7" ht="15.75" hidden="1" x14ac:dyDescent="0.25">
      <c r="A84" s="29" t="s">
        <v>24</v>
      </c>
      <c r="B84" s="15"/>
      <c r="C84" s="15">
        <f t="shared" si="7"/>
        <v>0</v>
      </c>
      <c r="D84" s="15"/>
      <c r="E84" s="15" t="e">
        <f>#REF!-D84</f>
        <v>#REF!</v>
      </c>
      <c r="F84" s="22"/>
    </row>
    <row r="85" spans="1:7" ht="31.5" x14ac:dyDescent="0.25">
      <c r="A85" s="29" t="s">
        <v>80</v>
      </c>
      <c r="B85" s="15">
        <f>тариф!C28+тариф!C29</f>
        <v>8908.9670399999995</v>
      </c>
      <c r="C85" s="15">
        <f t="shared" si="7"/>
        <v>106907.60447999999</v>
      </c>
      <c r="D85" s="15">
        <f>D86+D97</f>
        <v>94742.471040000004</v>
      </c>
      <c r="E85" s="15">
        <f>C85-D85</f>
        <v>12165.133439999991</v>
      </c>
      <c r="F85" s="84">
        <f>тариф!E28+тариф!E29</f>
        <v>8907.1809599999997</v>
      </c>
      <c r="G85" s="1">
        <f>3.2481*B119</f>
        <v>6480.6091200000001</v>
      </c>
    </row>
    <row r="86" spans="1:7" ht="17.25" customHeight="1" x14ac:dyDescent="0.25">
      <c r="A86" s="69" t="s">
        <v>70</v>
      </c>
      <c r="B86" s="15"/>
      <c r="C86" s="15"/>
      <c r="D86" s="15">
        <f>SUM(D87:D96)</f>
        <v>51622.208640000004</v>
      </c>
      <c r="E86" s="15"/>
      <c r="F86" s="22"/>
    </row>
    <row r="87" spans="1:7" ht="25.5" x14ac:dyDescent="0.25">
      <c r="A87" s="70" t="s">
        <v>87</v>
      </c>
      <c r="B87" s="15"/>
      <c r="C87" s="15"/>
      <c r="D87" s="35">
        <f>F87*$D$119*12</f>
        <v>34831.403520000007</v>
      </c>
      <c r="E87" s="15"/>
      <c r="F87" s="50">
        <v>1.4548000000000001</v>
      </c>
    </row>
    <row r="88" spans="1:7" ht="15.75" x14ac:dyDescent="0.25">
      <c r="A88" s="70" t="s">
        <v>37</v>
      </c>
      <c r="B88" s="15"/>
      <c r="C88" s="15"/>
      <c r="D88" s="35">
        <f t="shared" ref="D88:D96" si="8">F88*$D$119*12</f>
        <v>10101.298560000001</v>
      </c>
      <c r="E88" s="15"/>
      <c r="F88" s="50">
        <v>0.4219</v>
      </c>
    </row>
    <row r="89" spans="1:7" ht="15.75" x14ac:dyDescent="0.25">
      <c r="A89" s="70" t="s">
        <v>50</v>
      </c>
      <c r="B89" s="15"/>
      <c r="C89" s="15"/>
      <c r="D89" s="35">
        <f t="shared" si="8"/>
        <v>162.80831999999998</v>
      </c>
      <c r="E89" s="15"/>
      <c r="F89" s="50">
        <v>6.7999999999999996E-3</v>
      </c>
    </row>
    <row r="90" spans="1:7" ht="15.75" x14ac:dyDescent="0.25">
      <c r="A90" s="70" t="s">
        <v>51</v>
      </c>
      <c r="B90" s="15"/>
      <c r="C90" s="15"/>
      <c r="D90" s="35">
        <f t="shared" si="8"/>
        <v>172.38527999999999</v>
      </c>
      <c r="E90" s="15"/>
      <c r="F90" s="50">
        <v>7.1999999999999998E-3</v>
      </c>
    </row>
    <row r="91" spans="1:7" ht="25.5" x14ac:dyDescent="0.25">
      <c r="A91" s="70" t="s">
        <v>88</v>
      </c>
      <c r="B91" s="15"/>
      <c r="C91" s="15"/>
      <c r="D91" s="35">
        <f t="shared" si="8"/>
        <v>153.23136</v>
      </c>
      <c r="E91" s="15"/>
      <c r="F91" s="50">
        <v>6.4000000000000003E-3</v>
      </c>
    </row>
    <row r="92" spans="1:7" ht="15.75" x14ac:dyDescent="0.25">
      <c r="A92" s="70" t="s">
        <v>52</v>
      </c>
      <c r="B92" s="15"/>
      <c r="C92" s="15"/>
      <c r="D92" s="35">
        <f t="shared" si="8"/>
        <v>150.83712</v>
      </c>
      <c r="E92" s="15"/>
      <c r="F92" s="50">
        <v>6.3E-3</v>
      </c>
    </row>
    <row r="93" spans="1:7" ht="25.5" x14ac:dyDescent="0.25">
      <c r="A93" s="70" t="s">
        <v>89</v>
      </c>
      <c r="B93" s="15"/>
      <c r="C93" s="15"/>
      <c r="D93" s="35">
        <f t="shared" si="8"/>
        <v>191.53919999999999</v>
      </c>
      <c r="E93" s="15"/>
      <c r="F93" s="50">
        <v>8.0000000000000002E-3</v>
      </c>
    </row>
    <row r="94" spans="1:7" ht="15.75" x14ac:dyDescent="0.25">
      <c r="A94" s="70" t="s">
        <v>53</v>
      </c>
      <c r="B94" s="15"/>
      <c r="C94" s="15"/>
      <c r="D94" s="35">
        <f t="shared" si="8"/>
        <v>636.86784</v>
      </c>
      <c r="E94" s="15"/>
      <c r="F94" s="50">
        <v>2.6599999999999999E-2</v>
      </c>
    </row>
    <row r="95" spans="1:7" ht="15.75" x14ac:dyDescent="0.25">
      <c r="A95" s="70" t="s">
        <v>54</v>
      </c>
      <c r="B95" s="15"/>
      <c r="C95" s="15"/>
      <c r="D95" s="35">
        <f t="shared" si="8"/>
        <v>1687.9391999999998</v>
      </c>
      <c r="E95" s="15"/>
      <c r="F95" s="50">
        <v>7.0499999999999993E-2</v>
      </c>
    </row>
    <row r="96" spans="1:7" ht="15.75" x14ac:dyDescent="0.25">
      <c r="A96" s="70" t="s">
        <v>0</v>
      </c>
      <c r="B96" s="15"/>
      <c r="C96" s="15"/>
      <c r="D96" s="35">
        <f t="shared" si="8"/>
        <v>3533.8982400000004</v>
      </c>
      <c r="E96" s="15"/>
      <c r="F96" s="50">
        <v>0.14760000000000001</v>
      </c>
    </row>
    <row r="97" spans="1:6" ht="17.25" customHeight="1" x14ac:dyDescent="0.25">
      <c r="A97" s="69" t="s">
        <v>71</v>
      </c>
      <c r="B97" s="15"/>
      <c r="C97" s="15"/>
      <c r="D97" s="15">
        <f>D98+D99+D100+D109+D113+D116+D117</f>
        <v>43120.2624</v>
      </c>
      <c r="E97" s="15"/>
      <c r="F97" s="22"/>
    </row>
    <row r="98" spans="1:6" ht="30" x14ac:dyDescent="0.25">
      <c r="A98" s="71" t="s">
        <v>86</v>
      </c>
      <c r="B98" s="15"/>
      <c r="C98" s="15"/>
      <c r="D98" s="35">
        <f>F98*$D$119*12</f>
        <v>26281.572479999995</v>
      </c>
      <c r="E98" s="15"/>
      <c r="F98" s="50">
        <v>1.0976999999999999</v>
      </c>
    </row>
    <row r="99" spans="1:6" ht="15.75" x14ac:dyDescent="0.25">
      <c r="A99" s="71" t="s">
        <v>37</v>
      </c>
      <c r="B99" s="15"/>
      <c r="C99" s="15"/>
      <c r="D99" s="35">
        <f t="shared" ref="D99:D117" si="9">F99*$D$119*12</f>
        <v>7671.1449600000014</v>
      </c>
      <c r="E99" s="15"/>
      <c r="F99" s="50">
        <v>0.32040000000000002</v>
      </c>
    </row>
    <row r="100" spans="1:6" ht="30" x14ac:dyDescent="0.25">
      <c r="A100" s="71" t="s">
        <v>55</v>
      </c>
      <c r="B100" s="15"/>
      <c r="C100" s="15"/>
      <c r="D100" s="35">
        <f t="shared" si="9"/>
        <v>3119.69472</v>
      </c>
      <c r="E100" s="15"/>
      <c r="F100" s="50">
        <v>0.1303</v>
      </c>
    </row>
    <row r="101" spans="1:6" ht="15.75" x14ac:dyDescent="0.25">
      <c r="A101" s="72" t="s">
        <v>56</v>
      </c>
      <c r="B101" s="15"/>
      <c r="C101" s="15"/>
      <c r="D101" s="35">
        <f t="shared" si="9"/>
        <v>553.06943999999999</v>
      </c>
      <c r="E101" s="15"/>
      <c r="F101" s="50">
        <v>2.3099999999999999E-2</v>
      </c>
    </row>
    <row r="102" spans="1:6" ht="15.75" x14ac:dyDescent="0.25">
      <c r="A102" s="72" t="s">
        <v>57</v>
      </c>
      <c r="B102" s="15"/>
      <c r="C102" s="15"/>
      <c r="D102" s="35">
        <f t="shared" si="9"/>
        <v>23.942399999999999</v>
      </c>
      <c r="E102" s="15"/>
      <c r="F102" s="50">
        <v>1E-3</v>
      </c>
    </row>
    <row r="103" spans="1:6" ht="15.75" x14ac:dyDescent="0.25">
      <c r="A103" s="72" t="s">
        <v>58</v>
      </c>
      <c r="B103" s="15"/>
      <c r="C103" s="15"/>
      <c r="D103" s="35">
        <f t="shared" si="9"/>
        <v>521.94431999999995</v>
      </c>
      <c r="E103" s="15"/>
      <c r="F103" s="50">
        <v>2.18E-2</v>
      </c>
    </row>
    <row r="104" spans="1:6" ht="15.75" x14ac:dyDescent="0.25">
      <c r="A104" s="72" t="s">
        <v>90</v>
      </c>
      <c r="B104" s="15"/>
      <c r="C104" s="15"/>
      <c r="D104" s="35">
        <f t="shared" si="9"/>
        <v>52.673280000000005</v>
      </c>
      <c r="E104" s="15"/>
      <c r="F104" s="50">
        <v>2.2000000000000001E-3</v>
      </c>
    </row>
    <row r="105" spans="1:6" ht="15.75" x14ac:dyDescent="0.25">
      <c r="A105" s="72" t="s">
        <v>59</v>
      </c>
      <c r="B105" s="15"/>
      <c r="C105" s="15"/>
      <c r="D105" s="35">
        <f t="shared" si="9"/>
        <v>0</v>
      </c>
      <c r="E105" s="15"/>
      <c r="F105" s="50">
        <v>0</v>
      </c>
    </row>
    <row r="106" spans="1:6" ht="15.75" x14ac:dyDescent="0.25">
      <c r="A106" s="72" t="s">
        <v>60</v>
      </c>
      <c r="B106" s="15"/>
      <c r="C106" s="15"/>
      <c r="D106" s="35">
        <f t="shared" si="9"/>
        <v>483.63648000000001</v>
      </c>
      <c r="E106" s="15"/>
      <c r="F106" s="50">
        <v>2.0199999999999999E-2</v>
      </c>
    </row>
    <row r="107" spans="1:6" ht="15.75" x14ac:dyDescent="0.25">
      <c r="A107" s="72" t="s">
        <v>91</v>
      </c>
      <c r="B107" s="15"/>
      <c r="C107" s="15"/>
      <c r="D107" s="35">
        <f t="shared" si="9"/>
        <v>1460.4864</v>
      </c>
      <c r="E107" s="15"/>
      <c r="F107" s="50">
        <v>6.0999999999999999E-2</v>
      </c>
    </row>
    <row r="108" spans="1:6" ht="15.75" x14ac:dyDescent="0.25">
      <c r="A108" s="85" t="s">
        <v>62</v>
      </c>
      <c r="B108" s="15"/>
      <c r="C108" s="15"/>
      <c r="D108" s="35">
        <f t="shared" si="9"/>
        <v>26.336640000000003</v>
      </c>
      <c r="E108" s="15"/>
      <c r="F108" s="50">
        <v>1.1000000000000001E-3</v>
      </c>
    </row>
    <row r="109" spans="1:6" ht="15.75" x14ac:dyDescent="0.25">
      <c r="A109" s="73" t="s">
        <v>63</v>
      </c>
      <c r="B109" s="15"/>
      <c r="C109" s="15"/>
      <c r="D109" s="35">
        <f t="shared" si="9"/>
        <v>1304.8607999999999</v>
      </c>
      <c r="E109" s="15"/>
      <c r="F109" s="50">
        <v>5.45E-2</v>
      </c>
    </row>
    <row r="110" spans="1:6" ht="15.75" x14ac:dyDescent="0.25">
      <c r="A110" s="72" t="s">
        <v>64</v>
      </c>
      <c r="B110" s="15"/>
      <c r="C110" s="15"/>
      <c r="D110" s="35">
        <f t="shared" si="9"/>
        <v>141.26015999999998</v>
      </c>
      <c r="E110" s="15"/>
      <c r="F110" s="50">
        <v>5.8999999999999999E-3</v>
      </c>
    </row>
    <row r="111" spans="1:6" ht="15.75" x14ac:dyDescent="0.25">
      <c r="A111" s="72" t="s">
        <v>65</v>
      </c>
      <c r="B111" s="15"/>
      <c r="C111" s="15"/>
      <c r="D111" s="35">
        <f t="shared" si="9"/>
        <v>677.56992000000002</v>
      </c>
      <c r="E111" s="15"/>
      <c r="F111" s="50">
        <v>2.8299999999999999E-2</v>
      </c>
    </row>
    <row r="112" spans="1:6" ht="15.75" x14ac:dyDescent="0.25">
      <c r="A112" s="72" t="s">
        <v>78</v>
      </c>
      <c r="B112" s="15"/>
      <c r="C112" s="15"/>
      <c r="D112" s="35">
        <f t="shared" si="9"/>
        <v>486.03071999999997</v>
      </c>
      <c r="E112" s="15"/>
      <c r="F112" s="50">
        <v>2.0299999999999999E-2</v>
      </c>
    </row>
    <row r="113" spans="1:7" ht="15.75" x14ac:dyDescent="0.25">
      <c r="A113" s="73" t="s">
        <v>66</v>
      </c>
      <c r="B113" s="15"/>
      <c r="C113" s="15"/>
      <c r="D113" s="35">
        <f t="shared" si="9"/>
        <v>0</v>
      </c>
      <c r="E113" s="15"/>
      <c r="F113" s="50">
        <v>0</v>
      </c>
    </row>
    <row r="114" spans="1:7" ht="15.75" x14ac:dyDescent="0.25">
      <c r="A114" s="72" t="s">
        <v>67</v>
      </c>
      <c r="B114" s="15"/>
      <c r="C114" s="15"/>
      <c r="D114" s="35">
        <f t="shared" si="9"/>
        <v>0</v>
      </c>
      <c r="E114" s="15"/>
      <c r="F114" s="50">
        <v>0</v>
      </c>
    </row>
    <row r="115" spans="1:7" ht="25.5" x14ac:dyDescent="0.25">
      <c r="A115" s="72" t="s">
        <v>79</v>
      </c>
      <c r="B115" s="15"/>
      <c r="C115" s="15"/>
      <c r="D115" s="35">
        <f t="shared" si="9"/>
        <v>0</v>
      </c>
      <c r="E115" s="15"/>
      <c r="F115" s="50">
        <v>0</v>
      </c>
    </row>
    <row r="116" spans="1:7" ht="15.75" x14ac:dyDescent="0.25">
      <c r="A116" s="73" t="s">
        <v>68</v>
      </c>
      <c r="B116" s="15"/>
      <c r="C116" s="15"/>
      <c r="D116" s="35">
        <f t="shared" si="9"/>
        <v>2942.5209599999998</v>
      </c>
      <c r="E116" s="15"/>
      <c r="F116" s="50">
        <v>0.1229</v>
      </c>
    </row>
    <row r="117" spans="1:7" ht="16.5" customHeight="1" x14ac:dyDescent="0.25">
      <c r="A117" s="73" t="s">
        <v>69</v>
      </c>
      <c r="B117" s="15"/>
      <c r="C117" s="15"/>
      <c r="D117" s="35">
        <f t="shared" si="9"/>
        <v>1800.46848</v>
      </c>
      <c r="E117" s="15"/>
      <c r="F117" s="50">
        <v>7.5200000000000003E-2</v>
      </c>
    </row>
    <row r="118" spans="1:7" ht="18" customHeight="1" x14ac:dyDescent="0.25">
      <c r="A118" s="33" t="s">
        <v>35</v>
      </c>
      <c r="B118" s="17">
        <f>B85+B84+B64+B35+B9</f>
        <v>32800.9398</v>
      </c>
      <c r="C118" s="17">
        <f>C85+C84+C64+C35+C9</f>
        <v>393611.27759999997</v>
      </c>
      <c r="D118" s="17">
        <f>D85+D84+D64+D35+D9</f>
        <v>94742.471040000004</v>
      </c>
      <c r="E118" s="15">
        <f>C118-D118</f>
        <v>298868.80655999994</v>
      </c>
      <c r="F118" s="52"/>
      <c r="G118" s="17">
        <v>30151.506310000001</v>
      </c>
    </row>
    <row r="119" spans="1:7" ht="16.5" customHeight="1" x14ac:dyDescent="0.25">
      <c r="A119" s="29" t="s">
        <v>27</v>
      </c>
      <c r="B119" s="28">
        <f>тариф!B31</f>
        <v>1995.2</v>
      </c>
      <c r="C119" s="28">
        <f>тариф!B31</f>
        <v>1995.2</v>
      </c>
      <c r="D119" s="28">
        <f>тариф!B31</f>
        <v>1995.2</v>
      </c>
      <c r="E119" s="54"/>
      <c r="F119" s="14"/>
    </row>
    <row r="120" spans="1:7" ht="15.75" x14ac:dyDescent="0.25">
      <c r="A120" s="40" t="s">
        <v>39</v>
      </c>
      <c r="B120" s="41">
        <f>B118/B119</f>
        <v>16.439925721732155</v>
      </c>
      <c r="C120" s="41">
        <f>C118/C119/12</f>
        <v>16.439925721732155</v>
      </c>
      <c r="D120" s="41">
        <f>D118/D119/6</f>
        <v>7.9142000000000001</v>
      </c>
      <c r="E120" s="43"/>
      <c r="F120" s="19"/>
    </row>
    <row r="121" spans="1:7" ht="15.75" x14ac:dyDescent="0.25">
      <c r="A121" s="42"/>
      <c r="B121" s="49"/>
      <c r="C121" s="49"/>
      <c r="D121" s="49"/>
      <c r="E121" s="49"/>
      <c r="F121" s="19"/>
    </row>
    <row r="122" spans="1:7" ht="15.75" hidden="1" x14ac:dyDescent="0.25">
      <c r="A122" s="42"/>
      <c r="B122" s="49"/>
      <c r="C122" s="49"/>
      <c r="D122" s="49"/>
      <c r="E122" s="49"/>
      <c r="F122" s="19"/>
    </row>
    <row r="123" spans="1:7" ht="18.75" hidden="1" x14ac:dyDescent="0.3">
      <c r="A123" s="45" t="s">
        <v>48</v>
      </c>
      <c r="B123" s="1" t="s">
        <v>32</v>
      </c>
      <c r="C123" s="46" t="s">
        <v>49</v>
      </c>
      <c r="D123" s="46"/>
      <c r="E123" s="46"/>
      <c r="F123" s="1"/>
    </row>
    <row r="124" spans="1:7" ht="15.75" x14ac:dyDescent="0.25">
      <c r="A124" s="30"/>
      <c r="B124" s="48"/>
      <c r="C124" s="48"/>
      <c r="D124" s="48"/>
      <c r="E124" s="48"/>
    </row>
    <row r="125" spans="1:7" ht="15.75" x14ac:dyDescent="0.25">
      <c r="A125" s="13" t="s">
        <v>31</v>
      </c>
      <c r="B125" s="44" t="s">
        <v>46</v>
      </c>
      <c r="C125" s="44"/>
      <c r="D125" s="44" t="s">
        <v>33</v>
      </c>
      <c r="E125" s="44"/>
    </row>
    <row r="126" spans="1:7" ht="15.75" x14ac:dyDescent="0.25">
      <c r="A126" s="30"/>
      <c r="B126" s="48"/>
      <c r="C126" s="48"/>
      <c r="D126" s="48"/>
      <c r="E126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8" sqref="C8"/>
    </sheetView>
  </sheetViews>
  <sheetFormatPr defaultRowHeight="15" x14ac:dyDescent="0.25"/>
  <cols>
    <col min="1" max="1" width="60.5703125" customWidth="1"/>
    <col min="2" max="2" width="27.140625" customWidth="1"/>
    <col min="3" max="3" width="24.7109375" customWidth="1"/>
  </cols>
  <sheetData>
    <row r="1" spans="1:3" x14ac:dyDescent="0.25">
      <c r="A1" s="1"/>
    </row>
    <row r="2" spans="1:3" ht="29.25" customHeight="1" x14ac:dyDescent="0.25">
      <c r="A2" s="87" t="s">
        <v>1</v>
      </c>
      <c r="B2" s="99" t="s">
        <v>133</v>
      </c>
      <c r="C2" s="141" t="s">
        <v>188</v>
      </c>
    </row>
    <row r="3" spans="1:3" ht="15.75" customHeight="1" x14ac:dyDescent="0.25">
      <c r="A3" s="88" t="s">
        <v>94</v>
      </c>
      <c r="B3" s="98">
        <v>154</v>
      </c>
      <c r="C3" s="134">
        <v>146</v>
      </c>
    </row>
    <row r="4" spans="1:3" ht="15.75" customHeight="1" x14ac:dyDescent="0.25">
      <c r="A4" s="89" t="s">
        <v>95</v>
      </c>
      <c r="B4" s="98">
        <v>2020</v>
      </c>
      <c r="C4" s="135">
        <f t="shared" ref="C4" si="0">B4</f>
        <v>2020</v>
      </c>
    </row>
    <row r="5" spans="1:3" ht="15.75" customHeight="1" x14ac:dyDescent="0.25">
      <c r="A5" s="89" t="s">
        <v>96</v>
      </c>
      <c r="B5" s="98">
        <v>2000</v>
      </c>
      <c r="C5" s="135">
        <v>2000</v>
      </c>
    </row>
    <row r="6" spans="1:3" ht="15.75" customHeight="1" x14ac:dyDescent="0.25">
      <c r="A6" s="89" t="s">
        <v>97</v>
      </c>
      <c r="B6" s="98">
        <v>20</v>
      </c>
      <c r="C6" s="136">
        <f t="shared" ref="C6" si="1">C4-C5</f>
        <v>20</v>
      </c>
    </row>
    <row r="7" spans="1:3" ht="15.75" customHeight="1" x14ac:dyDescent="0.25">
      <c r="A7" s="89" t="s">
        <v>98</v>
      </c>
      <c r="B7" s="98">
        <v>2745</v>
      </c>
      <c r="C7" s="137">
        <v>2745</v>
      </c>
    </row>
    <row r="8" spans="1:3" ht="15.75" customHeight="1" x14ac:dyDescent="0.25">
      <c r="A8" s="89" t="s">
        <v>99</v>
      </c>
      <c r="B8" s="98">
        <v>1992.4</v>
      </c>
      <c r="C8" s="142">
        <v>1995.2</v>
      </c>
    </row>
    <row r="9" spans="1:3" ht="15.75" customHeight="1" x14ac:dyDescent="0.25">
      <c r="A9" s="89" t="s">
        <v>100</v>
      </c>
      <c r="B9" s="98" t="s">
        <v>132</v>
      </c>
      <c r="C9" s="137" t="s">
        <v>132</v>
      </c>
    </row>
    <row r="10" spans="1:3" ht="15.75" customHeight="1" x14ac:dyDescent="0.25">
      <c r="A10" s="89" t="s">
        <v>101</v>
      </c>
      <c r="B10" s="98">
        <v>1992.4</v>
      </c>
      <c r="C10" s="135">
        <f t="shared" ref="C10" si="2">IF(C9&gt;0,C8,0)</f>
        <v>1995.2</v>
      </c>
    </row>
    <row r="11" spans="1:3" ht="15.75" customHeight="1" x14ac:dyDescent="0.25">
      <c r="A11" s="89" t="s">
        <v>102</v>
      </c>
      <c r="B11" s="98">
        <v>9</v>
      </c>
      <c r="C11" s="137">
        <v>9</v>
      </c>
    </row>
    <row r="12" spans="1:3" ht="15.75" customHeight="1" x14ac:dyDescent="0.25">
      <c r="A12" s="89" t="s">
        <v>103</v>
      </c>
      <c r="B12" s="98">
        <v>36</v>
      </c>
      <c r="C12" s="137">
        <v>36</v>
      </c>
    </row>
    <row r="13" spans="1:3" ht="15.75" customHeight="1" x14ac:dyDescent="0.25">
      <c r="A13" s="89" t="s">
        <v>104</v>
      </c>
      <c r="B13" s="98">
        <v>36</v>
      </c>
      <c r="C13" s="137">
        <f t="shared" ref="C13" si="3">IF(AND(C14+C15=C16+C17,C14+C15=C12),C12,"ОШИБКА")</f>
        <v>36</v>
      </c>
    </row>
    <row r="14" spans="1:3" ht="15.75" customHeight="1" x14ac:dyDescent="0.25">
      <c r="A14" s="90" t="s">
        <v>105</v>
      </c>
      <c r="B14" s="98">
        <v>36</v>
      </c>
      <c r="C14" s="137">
        <v>36</v>
      </c>
    </row>
    <row r="15" spans="1:3" ht="15.75" customHeight="1" x14ac:dyDescent="0.25">
      <c r="A15" s="90" t="s">
        <v>106</v>
      </c>
      <c r="B15" s="98">
        <v>0</v>
      </c>
      <c r="C15" s="137">
        <v>0</v>
      </c>
    </row>
    <row r="16" spans="1:3" ht="15.75" customHeight="1" x14ac:dyDescent="0.25">
      <c r="A16" s="90" t="s">
        <v>107</v>
      </c>
      <c r="B16" s="98">
        <v>36</v>
      </c>
      <c r="C16" s="137">
        <v>36</v>
      </c>
    </row>
    <row r="17" spans="1:3" ht="15.75" customHeight="1" x14ac:dyDescent="0.25">
      <c r="A17" s="90" t="s">
        <v>108</v>
      </c>
      <c r="B17" s="98">
        <v>0</v>
      </c>
      <c r="C17" s="137">
        <v>0</v>
      </c>
    </row>
    <row r="18" spans="1:3" ht="15.75" customHeight="1" x14ac:dyDescent="0.25">
      <c r="A18" s="89" t="s">
        <v>109</v>
      </c>
      <c r="B18" s="98">
        <v>109</v>
      </c>
      <c r="C18" s="137">
        <v>109</v>
      </c>
    </row>
    <row r="19" spans="1:3" ht="15.75" customHeight="1" x14ac:dyDescent="0.25">
      <c r="A19" s="89" t="s">
        <v>110</v>
      </c>
      <c r="B19" s="98">
        <v>306</v>
      </c>
      <c r="C19" s="138">
        <f t="shared" ref="C19" si="4">SUM(C20:C22)</f>
        <v>306</v>
      </c>
    </row>
    <row r="20" spans="1:3" ht="15.75" customHeight="1" x14ac:dyDescent="0.25">
      <c r="A20" s="91" t="s">
        <v>111</v>
      </c>
      <c r="B20" s="98">
        <v>0</v>
      </c>
      <c r="C20" s="137">
        <v>0</v>
      </c>
    </row>
    <row r="21" spans="1:3" ht="15.75" customHeight="1" x14ac:dyDescent="0.25">
      <c r="A21" s="91" t="s">
        <v>112</v>
      </c>
      <c r="B21" s="98">
        <v>306</v>
      </c>
      <c r="C21" s="137">
        <v>306</v>
      </c>
    </row>
    <row r="22" spans="1:3" ht="15.75" customHeight="1" x14ac:dyDescent="0.25">
      <c r="A22" s="91" t="s">
        <v>113</v>
      </c>
      <c r="B22" s="98">
        <v>0</v>
      </c>
      <c r="C22" s="137">
        <v>0</v>
      </c>
    </row>
    <row r="23" spans="1:3" ht="15.75" customHeight="1" x14ac:dyDescent="0.25">
      <c r="A23" s="89" t="s">
        <v>114</v>
      </c>
      <c r="B23" s="98">
        <v>2745</v>
      </c>
      <c r="C23" s="138">
        <f t="shared" ref="C23" si="5">SUM(C24:C26)</f>
        <v>2745</v>
      </c>
    </row>
    <row r="24" spans="1:3" ht="15.75" customHeight="1" x14ac:dyDescent="0.25">
      <c r="A24" s="91" t="s">
        <v>115</v>
      </c>
      <c r="B24" s="98">
        <v>0</v>
      </c>
      <c r="C24" s="137">
        <v>0</v>
      </c>
    </row>
    <row r="25" spans="1:3" ht="15.75" customHeight="1" x14ac:dyDescent="0.25">
      <c r="A25" s="92" t="s">
        <v>116</v>
      </c>
      <c r="B25" s="98">
        <v>2745</v>
      </c>
      <c r="C25" s="137">
        <f>C7</f>
        <v>2745</v>
      </c>
    </row>
    <row r="26" spans="1:3" ht="15.75" customHeight="1" x14ac:dyDescent="0.25">
      <c r="A26" s="93" t="s">
        <v>117</v>
      </c>
      <c r="B26" s="98">
        <v>0</v>
      </c>
      <c r="C26" s="135">
        <v>0</v>
      </c>
    </row>
    <row r="27" spans="1:3" ht="15.75" customHeight="1" x14ac:dyDescent="0.25">
      <c r="A27" s="89" t="s">
        <v>118</v>
      </c>
      <c r="B27" s="98">
        <v>311.3</v>
      </c>
      <c r="C27" s="135">
        <v>311.3</v>
      </c>
    </row>
    <row r="28" spans="1:3" ht="15.75" customHeight="1" x14ac:dyDescent="0.25">
      <c r="A28" s="89" t="s">
        <v>119</v>
      </c>
      <c r="B28" s="98">
        <v>876.5</v>
      </c>
      <c r="C28" s="137">
        <v>876.5</v>
      </c>
    </row>
    <row r="29" spans="1:3" ht="15.75" customHeight="1" x14ac:dyDescent="0.25">
      <c r="A29" s="94" t="s">
        <v>120</v>
      </c>
      <c r="B29" s="98">
        <f>SUM(B30:B32)</f>
        <v>897.5</v>
      </c>
      <c r="C29" s="139">
        <f t="shared" ref="C29" si="6">SUM(C30:C32)</f>
        <v>897.5</v>
      </c>
    </row>
    <row r="30" spans="1:3" ht="15.75" customHeight="1" x14ac:dyDescent="0.25">
      <c r="A30" s="90" t="s">
        <v>121</v>
      </c>
      <c r="B30" s="98">
        <v>897.5</v>
      </c>
      <c r="C30" s="137">
        <v>897.5</v>
      </c>
    </row>
    <row r="31" spans="1:3" ht="15.75" customHeight="1" x14ac:dyDescent="0.25">
      <c r="A31" s="90" t="s">
        <v>122</v>
      </c>
      <c r="B31" s="98">
        <v>0</v>
      </c>
      <c r="C31" s="137">
        <v>0</v>
      </c>
    </row>
    <row r="32" spans="1:3" ht="15.75" customHeight="1" x14ac:dyDescent="0.25">
      <c r="A32" s="90" t="s">
        <v>123</v>
      </c>
      <c r="B32" s="98">
        <v>0</v>
      </c>
      <c r="C32" s="137">
        <v>0</v>
      </c>
    </row>
    <row r="33" spans="1:3" ht="15.75" customHeight="1" x14ac:dyDescent="0.25">
      <c r="A33" s="89" t="s">
        <v>124</v>
      </c>
      <c r="B33" s="98">
        <v>1</v>
      </c>
      <c r="C33" s="137">
        <f t="shared" ref="C33" si="7">SUM(C34:C35)</f>
        <v>1</v>
      </c>
    </row>
    <row r="34" spans="1:3" ht="15.75" customHeight="1" x14ac:dyDescent="0.25">
      <c r="A34" s="95" t="s">
        <v>125</v>
      </c>
      <c r="B34" s="98">
        <v>0</v>
      </c>
      <c r="C34" s="137">
        <v>0</v>
      </c>
    </row>
    <row r="35" spans="1:3" ht="15.75" customHeight="1" x14ac:dyDescent="0.25">
      <c r="A35" s="95" t="s">
        <v>126</v>
      </c>
      <c r="B35" s="98">
        <v>1</v>
      </c>
      <c r="C35" s="137">
        <v>1</v>
      </c>
    </row>
    <row r="36" spans="1:3" ht="15.75" customHeight="1" x14ac:dyDescent="0.25">
      <c r="A36" s="94" t="s">
        <v>127</v>
      </c>
      <c r="B36" s="98">
        <v>1</v>
      </c>
      <c r="C36" s="140">
        <v>1</v>
      </c>
    </row>
    <row r="37" spans="1:3" ht="15.75" customHeight="1" x14ac:dyDescent="0.25">
      <c r="A37" s="94" t="s">
        <v>128</v>
      </c>
      <c r="B37" s="98">
        <v>2</v>
      </c>
      <c r="C37" s="137">
        <v>2</v>
      </c>
    </row>
    <row r="38" spans="1:3" ht="15.75" x14ac:dyDescent="0.25">
      <c r="A38" s="96" t="s">
        <v>129</v>
      </c>
      <c r="B38" s="100">
        <v>2208</v>
      </c>
    </row>
    <row r="39" spans="1:3" ht="15.75" x14ac:dyDescent="0.25">
      <c r="A39" s="97" t="s">
        <v>130</v>
      </c>
      <c r="B39" s="101">
        <v>3361</v>
      </c>
    </row>
    <row r="40" spans="1:3" ht="15.75" x14ac:dyDescent="0.25">
      <c r="A40" s="9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калькуляция 2021</vt:lpstr>
      <vt:lpstr>тариф 01.10.21</vt:lpstr>
      <vt:lpstr>тариф</vt:lpstr>
      <vt:lpstr>калькуляция 2020</vt:lpstr>
      <vt:lpstr>калькуляция 2019</vt:lpstr>
      <vt:lpstr>ТХ МКД</vt:lpstr>
      <vt:lpstr>'калькуляция 2019'!Область_печати</vt:lpstr>
      <vt:lpstr>'калькуляция 2020'!Область_печати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2022-07-05T11:32:14Z</cp:lastPrinted>
  <dcterms:created xsi:type="dcterms:W3CDTF">2018-03-30T11:45:59Z</dcterms:created>
  <dcterms:modified xsi:type="dcterms:W3CDTF">2022-07-06T07:23:17Z</dcterms:modified>
</cp:coreProperties>
</file>